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<sst xmlns="http://schemas.openxmlformats.org/spreadsheetml/2006/main" count="162" uniqueCount="112">
  <si>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</si>
  <si>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</si>
  <si>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</si>
  <si>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</si>
  <si>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</si>
  <si>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</si>
  <si>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</si>
  <si>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</si>
  <si>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</si>
  <si>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</si>
  <si>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</si>
  <si>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</si>
  <si>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</si>
  <si>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</si>
  <si>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</si>
  <si>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</si>
  <si>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</si>
  <si>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</si>
  <si>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</si>
  <si>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</si>
  <si>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</si>
  <si>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</si>
  <si>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</si>
  <si>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</si>
  <si>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</si>
  <si>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</si>
  <si>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</si>
  <si>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</si>
  <si>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</si>
  <si>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</si>
  <si>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</si>
  <si>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</si>
  <si>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</si>
  <si>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</si>
  <si>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</si>
  <si>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</si>
  <si>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</si>
  <si>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</si>
  <si>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</si>
  <si>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</si>
  <si>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</si>
  <si>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</si>
  <si>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</si>
  <si>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</si>
  <si>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</si>
  <si>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</si>
  <si>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</si>
  <si>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</si>
  <si>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</si>
  <si>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</si>
  <si>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</si>
  <si>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</si>
  <si>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</si>
  <si>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</si>
  <si>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</si>
  <si>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</si>
  <si>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</si>
  <si>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</si>
  <si>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</si>
  <si>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</si>
  <si>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</si>
  <si>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</si>
  <si>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</si>
  <si>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</si>
  <si>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</si>
  <si>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</si>
  <si>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</si>
  <si>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</si>
  <si>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</si>
  <si>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</si>
  <si>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</si>
  <si>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</si>
  <si>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</si>
  <si>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</si>
  <si>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</si>
  <si>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</si>
  <si>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</si>
  <si>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</si>
  <si>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</si>
  <si>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</si>
  <si>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</si>
  <si>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</si>
  <si>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</si>
  <si>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</si>
  <si>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</si>
  <si>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</si>
  <si>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</si>
  <si>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</si>
  <si>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</si>
  <si>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</si>
  <si>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</si>
  <si>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</si>
  <si>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</si>
  <si>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</si>
  <si>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</si>
  <si>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</si>
  <si>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</si>
  <si>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</si>
  <si>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</si>
  <si>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</si>
  <si>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</si>
  <si>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</si>
  <si>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</si>
  <si>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</si>
  <si>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</si>
  <si>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</si>
  <si>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</si>
  <si>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</si>
  <si>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</si>
  <si>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</si>
  <si>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</si>
  <si>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2016 рік станом на 06.12.2016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</si>
</sst>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59670.90000000001</c:v>
                </c:pt>
                <c:pt idx="1">
                  <c:v>49680.7</c:v>
                </c:pt>
                <c:pt idx="2">
                  <c:v>2121.4</c:v>
                </c:pt>
                <c:pt idx="3">
                  <c:v>7868.800000000012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42294.4</c:v>
                </c:pt>
                <c:pt idx="1">
                  <c:v>36327.5</c:v>
                </c:pt>
                <c:pt idx="2">
                  <c:v>1193.6</c:v>
                </c:pt>
                <c:pt idx="3">
                  <c:v>4773.300000000001</c:v>
                </c:pt>
              </c:numCache>
            </c:numRef>
          </c:val>
          <c:shape val="box"/>
        </c:ser>
        <c:shape val="box"/>
        <c:axId val="18637846"/>
        <c:axId val="33522887"/>
      </c:bar3DChart>
      <c:catAx>
        <c:axId val="1863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22887"/>
        <c:crosses val="autoZero"/>
        <c:auto val="1"/>
        <c:lblOffset val="100"/>
        <c:tickLblSkip val="1"/>
        <c:noMultiLvlLbl val="0"/>
      </c:catAx>
      <c:valAx>
        <c:axId val="33522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450348.8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20961.10000000005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296526.8</c:v>
                </c:pt>
                <c:pt idx="1">
                  <c:v>129866</c:v>
                </c:pt>
                <c:pt idx="2">
                  <c:v>227262.1999999999</c:v>
                </c:pt>
                <c:pt idx="3">
                  <c:v>40.89999999999999</c:v>
                </c:pt>
                <c:pt idx="4">
                  <c:v>17707.90000000001</c:v>
                </c:pt>
                <c:pt idx="5">
                  <c:v>32570.9</c:v>
                </c:pt>
                <c:pt idx="6">
                  <c:v>9254.800000000001</c:v>
                </c:pt>
                <c:pt idx="7">
                  <c:v>9690.100000000088</c:v>
                </c:pt>
              </c:numCache>
            </c:numRef>
          </c:val>
          <c:shape val="box"/>
        </c:ser>
        <c:shape val="box"/>
        <c:axId val="33270528"/>
        <c:axId val="30999297"/>
      </c:bar3D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999297"/>
        <c:crosses val="autoZero"/>
        <c:auto val="1"/>
        <c:lblOffset val="100"/>
        <c:tickLblSkip val="1"/>
        <c:noMultiLvlLbl val="0"/>
      </c:catAx>
      <c:valAx>
        <c:axId val="309992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260725.1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13796.700000000017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182540.3</c:v>
                </c:pt>
                <c:pt idx="1">
                  <c:v>134000.59999999998</c:v>
                </c:pt>
                <c:pt idx="2">
                  <c:v>140251</c:v>
                </c:pt>
                <c:pt idx="3">
                  <c:v>16451.3</c:v>
                </c:pt>
                <c:pt idx="4">
                  <c:v>3108.6000000000004</c:v>
                </c:pt>
                <c:pt idx="5">
                  <c:v>15184.899999999994</c:v>
                </c:pt>
                <c:pt idx="6">
                  <c:v>1136.3999999999999</c:v>
                </c:pt>
                <c:pt idx="7">
                  <c:v>6408.099999999993</c:v>
                </c:pt>
              </c:numCache>
            </c:numRef>
          </c:val>
          <c:shape val="box"/>
        </c:ser>
        <c:shape val="box"/>
        <c:axId val="10558218"/>
        <c:axId val="27915099"/>
      </c:bar3DChart>
      <c:catAx>
        <c:axId val="10558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15099"/>
        <c:crosses val="autoZero"/>
        <c:auto val="1"/>
        <c:lblOffset val="100"/>
        <c:tickLblSkip val="1"/>
        <c:noMultiLvlLbl val="0"/>
      </c:catAx>
      <c:valAx>
        <c:axId val="27915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82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49873.5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969.3</c:v>
                </c:pt>
                <c:pt idx="4">
                  <c:v>60.8</c:v>
                </c:pt>
                <c:pt idx="5">
                  <c:v>9109.700000000006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35181.799999999996</c:v>
                </c:pt>
                <c:pt idx="1">
                  <c:v>26118.399999999987</c:v>
                </c:pt>
                <c:pt idx="2">
                  <c:v>1288.2999999999995</c:v>
                </c:pt>
                <c:pt idx="3">
                  <c:v>627.8000000000001</c:v>
                </c:pt>
                <c:pt idx="4">
                  <c:v>25.5</c:v>
                </c:pt>
                <c:pt idx="5">
                  <c:v>7121.800000000009</c:v>
                </c:pt>
              </c:numCache>
            </c:numRef>
          </c:val>
          <c:shape val="box"/>
        </c:ser>
        <c:shape val="box"/>
        <c:axId val="49909300"/>
        <c:axId val="46530517"/>
      </c:bar3D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530517"/>
        <c:crosses val="autoZero"/>
        <c:auto val="1"/>
        <c:lblOffset val="100"/>
        <c:tickLblSkip val="1"/>
        <c:noMultiLvlLbl val="0"/>
      </c:catAx>
      <c:valAx>
        <c:axId val="465305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16561.1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4800.299999999997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10669.899999999992</c:v>
                </c:pt>
                <c:pt idx="1">
                  <c:v>6753.499999999998</c:v>
                </c:pt>
                <c:pt idx="3">
                  <c:v>154.50000000000003</c:v>
                </c:pt>
                <c:pt idx="4">
                  <c:v>398.50000000000006</c:v>
                </c:pt>
                <c:pt idx="5">
                  <c:v>160</c:v>
                </c:pt>
                <c:pt idx="6">
                  <c:v>3203.399999999994</c:v>
                </c:pt>
              </c:numCache>
            </c:numRef>
          </c:val>
          <c:shape val="box"/>
        </c:ser>
        <c:shape val="box"/>
        <c:axId val="16121470"/>
        <c:axId val="10875503"/>
      </c:bar3D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875503"/>
        <c:crosses val="autoZero"/>
        <c:auto val="1"/>
        <c:lblOffset val="100"/>
        <c:tickLblSkip val="2"/>
        <c:noMultiLvlLbl val="0"/>
      </c:catAx>
      <c:valAx>
        <c:axId val="108755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21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6111.4</c:v>
                </c:pt>
                <c:pt idx="1">
                  <c:v>1642.6000000000001</c:v>
                </c:pt>
                <c:pt idx="2">
                  <c:v>311.8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4413.299999999999</c:v>
                </c:pt>
                <c:pt idx="1">
                  <c:v>1218.6</c:v>
                </c:pt>
                <c:pt idx="2">
                  <c:v>311.70000000000005</c:v>
                </c:pt>
                <c:pt idx="3">
                  <c:v>203.50000000000003</c:v>
                </c:pt>
                <c:pt idx="4">
                  <c:v>2574.6000000000004</c:v>
                </c:pt>
                <c:pt idx="5">
                  <c:v>104.89999999999895</c:v>
                </c:pt>
              </c:numCache>
            </c:numRef>
          </c:val>
          <c:shape val="box"/>
        </c:ser>
        <c:shape val="box"/>
        <c:axId val="30770664"/>
        <c:axId val="8500521"/>
      </c:bar3D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706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60562.200000000004</c:v>
                </c:pt>
              </c:numCache>
            </c:numRef>
          </c:val>
          <c:shape val="box"/>
        </c:ser>
        <c:shape val="box"/>
        <c:axId val="9395826"/>
        <c:axId val="17453571"/>
      </c:bar3D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450348.8</c:v>
                </c:pt>
                <c:pt idx="1">
                  <c:v>260725.1</c:v>
                </c:pt>
                <c:pt idx="2">
                  <c:v>49873.5</c:v>
                </c:pt>
                <c:pt idx="3">
                  <c:v>16561.1</c:v>
                </c:pt>
                <c:pt idx="4">
                  <c:v>6111.4</c:v>
                </c:pt>
                <c:pt idx="5">
                  <c:v>59670.90000000001</c:v>
                </c:pt>
                <c:pt idx="6">
                  <c:v>78623.2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296526.8</c:v>
                </c:pt>
                <c:pt idx="1">
                  <c:v>182540.3</c:v>
                </c:pt>
                <c:pt idx="2">
                  <c:v>35181.799999999996</c:v>
                </c:pt>
                <c:pt idx="3">
                  <c:v>10669.899999999992</c:v>
                </c:pt>
                <c:pt idx="4">
                  <c:v>4413.299999999999</c:v>
                </c:pt>
                <c:pt idx="5">
                  <c:v>42294.4</c:v>
                </c:pt>
                <c:pt idx="6">
                  <c:v>60562.200000000004</c:v>
                </c:pt>
              </c:numCache>
            </c:numRef>
          </c:val>
          <c:shape val="box"/>
        </c:ser>
        <c:shape val="box"/>
        <c:axId val="22864412"/>
        <c:axId val="4453117"/>
      </c:bar3D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4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31701.800000000003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730774.2000000001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443746.5999999998</c:v>
                </c:pt>
                <c:pt idx="1">
                  <c:v>56270.5</c:v>
                </c:pt>
                <c:pt idx="2">
                  <c:v>21318.000000000007</c:v>
                </c:pt>
                <c:pt idx="3">
                  <c:v>18188.9</c:v>
                </c:pt>
                <c:pt idx="4">
                  <c:v>16573.3</c:v>
                </c:pt>
                <c:pt idx="5">
                  <c:v>529380.5000000003</c:v>
                </c:pt>
              </c:numCache>
            </c:numRef>
          </c:val>
          <c:shape val="box"/>
        </c:ser>
        <c:shape val="box"/>
        <c:axId val="40078054"/>
        <c:axId val="25158167"/>
      </c:bar3D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58167"/>
        <c:crosses val="autoZero"/>
        <c:auto val="1"/>
        <c:lblOffset val="100"/>
        <c:tickLblSkip val="1"/>
        <c:noMultiLvlLbl val="0"/>
      </c:catAx>
      <c:valAx>
        <c:axId val="25158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8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4" sqref="L4"/>
    </sheetView>
  </sheetViews>
  <sheetFormatPr defaultColWidth="9.00390625" defaultRowHeight="12.75"/>
  <cols>
    <col min="1" max="1" width="66.875" style="29" customWidth="1"/>
    <col min="2" max="2" width="19.00390625" style="29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6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0" customHeight="1">
      <c r="A1" s="128" t="s">
        <v>111</v>
      </c>
      <c r="B1" s="128"/>
      <c r="C1" s="128"/>
      <c r="D1" s="128"/>
      <c r="E1" s="128"/>
      <c r="F1" s="128"/>
      <c r="G1" s="128"/>
      <c r="H1" s="128"/>
      <c r="I1" s="128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2" t="s">
        <v>44</v>
      </c>
      <c r="B3" s="129" t="s">
        <v>108</v>
      </c>
      <c r="C3" s="129" t="s">
        <v>99</v>
      </c>
      <c r="D3" s="129" t="s">
        <v>23</v>
      </c>
      <c r="E3" s="129" t="s">
        <v>22</v>
      </c>
      <c r="F3" s="129" t="s">
        <v>109</v>
      </c>
      <c r="G3" s="129" t="s">
        <v>101</v>
      </c>
      <c r="H3" s="129" t="s">
        <v>110</v>
      </c>
      <c r="I3" s="129" t="s">
        <v>100</v>
      </c>
    </row>
    <row r="4" spans="1:9" ht="24.75" customHeight="1">
      <c r="A4" s="133"/>
      <c r="B4" s="130"/>
      <c r="C4" s="130"/>
      <c r="D4" s="130"/>
      <c r="E4" s="130"/>
      <c r="F4" s="130"/>
      <c r="G4" s="130"/>
      <c r="H4" s="130"/>
      <c r="I4" s="130"/>
    </row>
    <row r="5" spans="1:9" ht="39" customHeight="1" thickBot="1">
      <c r="A5" s="134"/>
      <c r="B5" s="131"/>
      <c r="C5" s="131"/>
      <c r="D5" s="131"/>
      <c r="E5" s="131"/>
      <c r="F5" s="131"/>
      <c r="G5" s="131"/>
      <c r="H5" s="131"/>
      <c r="I5" s="131"/>
    </row>
    <row r="6" spans="1:9" ht="18.75" thickBot="1">
      <c r="A6" s="22" t="s">
        <v>28</v>
      </c>
      <c r="B6" s="45">
        <f>406799.8+177+726.1</f>
        <v>407702.89999999997</v>
      </c>
      <c r="C6" s="46">
        <f>426773.1+25+188.4+2200.9+6.1-1051.6+141.1+593.1+16568.5+4904.2+177+742.5</f>
        <v>451268.3</v>
      </c>
      <c r="D6" s="47">
        <f>332980.2+473.5+94.1+160.7+5895.8+8746.9+145.1+473.2+40.2+1154.4+173.1+6.7+1143.7+6208.9+2190.9+7831.9+213.4+23+0.1+177.3+463</f>
        <v>368596.1000000001</v>
      </c>
      <c r="E6" s="3">
        <f>D6/D150*100</f>
        <v>27.21062858693549</v>
      </c>
      <c r="F6" s="3">
        <f>D6/B6*100</f>
        <v>90.40801524835858</v>
      </c>
      <c r="G6" s="3">
        <f aca="true" t="shared" si="0" ref="G6:G43">D6/C6*100</f>
        <v>81.68003380693926</v>
      </c>
      <c r="H6" s="47">
        <f>B6-D6</f>
        <v>39106.79999999987</v>
      </c>
      <c r="I6" s="47">
        <f aca="true" t="shared" si="1" ref="I6:I43">C6-D6</f>
        <v>82672.1999999999</v>
      </c>
    </row>
    <row r="7" spans="1:9" s="37" customFormat="1" ht="18.75">
      <c r="A7" s="104" t="s">
        <v>87</v>
      </c>
      <c r="B7" s="97">
        <v>171592.7</v>
      </c>
      <c r="C7" s="94">
        <f>185717.4+2200.9+593.1-613.8</f>
        <v>187897.6</v>
      </c>
      <c r="D7" s="105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+48.7+155.4+6389+11.4+1.4-0.1+54.6+5818.7+239.3+186.1+5.5+5.7+7312.3+1+0.4+0.1+463+3.9+0.1+5894.4+625.5+2.6+179.3+359.7+139.1+86.3+6208.9+81.6+31.3+149.5+0.2+177.3+7.2</f>
        <v>157899.5</v>
      </c>
      <c r="E7" s="95">
        <f>D7/D6*100</f>
        <v>42.83808211752647</v>
      </c>
      <c r="F7" s="95">
        <f>D7/B7*100</f>
        <v>92.0199402422131</v>
      </c>
      <c r="G7" s="95">
        <f>D7/C7*100</f>
        <v>84.03486792806294</v>
      </c>
      <c r="H7" s="105">
        <f>B7-D7</f>
        <v>13693.200000000012</v>
      </c>
      <c r="I7" s="105">
        <f t="shared" si="1"/>
        <v>29998.100000000006</v>
      </c>
    </row>
    <row r="8" spans="1:9" ht="18">
      <c r="A8" s="23" t="s">
        <v>3</v>
      </c>
      <c r="B8" s="42">
        <f>284150.9+24.8</f>
        <v>284175.7</v>
      </c>
      <c r="C8" s="43">
        <f>298081.6+593.1+13792.1+24.8</f>
        <v>312491.5999999999</v>
      </c>
      <c r="D8" s="44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+6387.9+7253.1-43.7-0.1+7.7+10883.1+8.3+17919.7+1.3+5894.4+5435.7+7.2+1.5+6208.9+7426+93.3</f>
        <v>281105.4999999999</v>
      </c>
      <c r="E8" s="1">
        <f>D8/D6*100</f>
        <v>76.26382916151306</v>
      </c>
      <c r="F8" s="1">
        <f>D8/B8*100</f>
        <v>98.919612056907</v>
      </c>
      <c r="G8" s="1">
        <f t="shared" si="0"/>
        <v>89.95617802206522</v>
      </c>
      <c r="H8" s="44">
        <f>B8-D8</f>
        <v>3070.200000000128</v>
      </c>
      <c r="I8" s="44">
        <f t="shared" si="1"/>
        <v>31386.100000000035</v>
      </c>
    </row>
    <row r="9" spans="1:9" ht="18">
      <c r="A9" s="23" t="s">
        <v>2</v>
      </c>
      <c r="B9" s="42">
        <v>82.4</v>
      </c>
      <c r="C9" s="43">
        <v>85.7</v>
      </c>
      <c r="D9" s="44">
        <f>4+2.9+1.6+0.5+0.5+1.9+1.2+1.8+1.6+0.7+2+3.7+0.1+1.9+2.9+1.2+0.4+1.1+0.2+0.6+1.5+1.7+0.3+0.5+1.3-0.1+0.4+0.3+1.5+2.7+0.5+2.5+7.6+1+1.2+2.8+0.3+0.4+1.5+5.8+1.1+1.7</f>
        <v>67.29999999999998</v>
      </c>
      <c r="E9" s="12">
        <f>D9/D6*100</f>
        <v>0.01825846773745028</v>
      </c>
      <c r="F9" s="120">
        <f>D9/B9*100</f>
        <v>81.67475728155337</v>
      </c>
      <c r="G9" s="1">
        <f t="shared" si="0"/>
        <v>78.52975495915983</v>
      </c>
      <c r="H9" s="44">
        <f aca="true" t="shared" si="2" ref="H9:H43">B9-D9</f>
        <v>15.100000000000023</v>
      </c>
      <c r="I9" s="44">
        <f t="shared" si="1"/>
        <v>18.40000000000002</v>
      </c>
    </row>
    <row r="10" spans="1:9" ht="18">
      <c r="A10" s="23" t="s">
        <v>1</v>
      </c>
      <c r="B10" s="42">
        <f>29629.8-820.3</f>
        <v>28809.5</v>
      </c>
      <c r="C10" s="43">
        <f>28052.9-28-1051.6+141.1+4575.2-820.3</f>
        <v>30869.300000000003</v>
      </c>
      <c r="D10" s="48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+35.2+180.6+4.9+180.1+666.9+489.9+637.5+6.7+100.8+14.8+555.4+278.4+619.6+549.6+169.5+46.7+56.8+3.8-0.9+36.7+2.9+429.3+455.9+49.9+159.4+28.8+117.9+269.4+317+223.7+903.7+210.1+43.7+21.8+0.3+81</f>
        <v>24588.000000000015</v>
      </c>
      <c r="E10" s="1">
        <f>D10/D6*100</f>
        <v>6.670716266395658</v>
      </c>
      <c r="F10" s="1">
        <f aca="true" t="shared" si="3" ref="F10:F41">D10/B10*100</f>
        <v>85.34684739408881</v>
      </c>
      <c r="G10" s="1">
        <f t="shared" si="0"/>
        <v>79.65195193930543</v>
      </c>
      <c r="H10" s="44">
        <f t="shared" si="2"/>
        <v>4221.499999999985</v>
      </c>
      <c r="I10" s="44">
        <f t="shared" si="1"/>
        <v>6281.299999999988</v>
      </c>
    </row>
    <row r="11" spans="1:9" ht="18">
      <c r="A11" s="23" t="s">
        <v>0</v>
      </c>
      <c r="B11" s="42">
        <f>64199.2+821.3</f>
        <v>65020.5</v>
      </c>
      <c r="C11" s="43">
        <f>71654.8+3326+821.3</f>
        <v>75802.1</v>
      </c>
      <c r="D11" s="49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+35.7+338.5+131.2+11.3+33.4+3.7+52+231+36.6+1.5+156.4+221.8+673.5+1.7+0.7+0.5+686.7+13.7+5.5+2489.4+185.4+429.3+130.9+632.9+384.1+21.8+6.3-0.1+168.9+82.5</f>
        <v>39187.60000000001</v>
      </c>
      <c r="E11" s="1">
        <f>D11/D6*100</f>
        <v>10.63158291691095</v>
      </c>
      <c r="F11" s="1">
        <f t="shared" si="3"/>
        <v>60.269607277704736</v>
      </c>
      <c r="G11" s="1">
        <f t="shared" si="0"/>
        <v>51.697248493115644</v>
      </c>
      <c r="H11" s="44">
        <f t="shared" si="2"/>
        <v>25832.899999999987</v>
      </c>
      <c r="I11" s="44">
        <f t="shared" si="1"/>
        <v>36614.49999999999</v>
      </c>
    </row>
    <row r="12" spans="1:9" ht="18">
      <c r="A12" s="23" t="s">
        <v>14</v>
      </c>
      <c r="B12" s="42">
        <f>13330.4-1455.2</f>
        <v>11875.199999999999</v>
      </c>
      <c r="C12" s="43">
        <f>14712+28-1455.2</f>
        <v>13284.8</v>
      </c>
      <c r="D12" s="44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+8.3+691.5+342.5+33.6-0.1+5.4+349.9+499+136.9+32.5+0.1+9.1+0.9+311.8+37.9+285.6+511.7+3.4</f>
        <v>11438.9</v>
      </c>
      <c r="E12" s="1">
        <f>D12/D6*100</f>
        <v>3.1033697860612186</v>
      </c>
      <c r="F12" s="1">
        <f t="shared" si="3"/>
        <v>96.32595661546753</v>
      </c>
      <c r="G12" s="1">
        <f t="shared" si="0"/>
        <v>86.10517282909792</v>
      </c>
      <c r="H12" s="44">
        <f t="shared" si="2"/>
        <v>436.2999999999993</v>
      </c>
      <c r="I12" s="44">
        <f t="shared" si="1"/>
        <v>1845.8999999999996</v>
      </c>
    </row>
    <row r="13" spans="1:9" ht="18.75" thickBot="1">
      <c r="A13" s="23" t="s">
        <v>29</v>
      </c>
      <c r="B13" s="43">
        <f>B6-B8-B9-B10-B11-B12</f>
        <v>17739.599999999962</v>
      </c>
      <c r="C13" s="43">
        <f>C6-C8-C9-C10-C11-C12</f>
        <v>18734.80000000005</v>
      </c>
      <c r="D13" s="43">
        <f>D6-D8-D9-D10-D11-D12</f>
        <v>12208.80000000018</v>
      </c>
      <c r="E13" s="1">
        <f>D13/D6*100</f>
        <v>3.3122434013816684</v>
      </c>
      <c r="F13" s="1">
        <f t="shared" si="3"/>
        <v>68.82229588040433</v>
      </c>
      <c r="G13" s="1">
        <f t="shared" si="0"/>
        <v>65.16642825116973</v>
      </c>
      <c r="H13" s="44">
        <f t="shared" si="2"/>
        <v>5530.799999999783</v>
      </c>
      <c r="I13" s="44">
        <f t="shared" si="1"/>
        <v>6525.999999999871</v>
      </c>
    </row>
    <row r="14" spans="1:9" s="37" customFormat="1" ht="18.75" customHeight="1" hidden="1">
      <c r="A14" s="96" t="s">
        <v>67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</row>
    <row r="15" spans="1:9" s="37" customFormat="1" ht="18.75" customHeight="1" hidden="1">
      <c r="A15" s="96" t="s">
        <v>64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</row>
    <row r="16" spans="1:9" s="37" customFormat="1" ht="19.5" hidden="1" thickBot="1">
      <c r="A16" s="96" t="s">
        <v>65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</row>
    <row r="17" spans="1:9" s="37" customFormat="1" ht="19.5" hidden="1" thickBot="1">
      <c r="A17" s="96" t="s">
        <v>66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</row>
    <row r="18" spans="1:9" ht="18.75" thickBot="1">
      <c r="A18" s="22" t="s">
        <v>19</v>
      </c>
      <c r="B18" s="45">
        <f>238549.9-102.3+771.4+0.1</f>
        <v>239219.1</v>
      </c>
      <c r="C18" s="46">
        <f>250434.1+666.5+2890.8+76.6+110+6034+513.1+12.9-102.3</f>
        <v>260635.7</v>
      </c>
      <c r="D18" s="47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+1274.5+3.3+9.8+9135+1038+13.4+179.9+6951.5+215+299.4+5+52.8+6881.4+4006.9+52.5+0.7+0.1+106+1041.7+311.7+34.6+6282.6+1181.1+3+2.6+1652.6+596.2+7+5652.5+4804.1+318+14.3+918.9</f>
        <v>224112.40000000002</v>
      </c>
      <c r="E18" s="3">
        <f>D18/D150*100</f>
        <v>16.5445029888453</v>
      </c>
      <c r="F18" s="3">
        <f>D18/B18*100</f>
        <v>93.68499421659894</v>
      </c>
      <c r="G18" s="3">
        <f t="shared" si="0"/>
        <v>85.98683910147382</v>
      </c>
      <c r="H18" s="47">
        <f>B18-D18</f>
        <v>15106.699999999983</v>
      </c>
      <c r="I18" s="47">
        <f t="shared" si="1"/>
        <v>36523.29999999999</v>
      </c>
    </row>
    <row r="19" spans="1:9" s="37" customFormat="1" ht="18.75">
      <c r="A19" s="104" t="s">
        <v>88</v>
      </c>
      <c r="B19" s="97">
        <v>173936.1</v>
      </c>
      <c r="C19" s="94">
        <f>188049.2+2890.8+579.6+12.9</f>
        <v>191532.5</v>
      </c>
      <c r="D19" s="105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+827.6+3.3+8+6151.8+130.2+5.6+179.9+6951.5+3.3+299.4+5+6881.4+9.8+11.6+0.5-2.3+106+1041.7+5.3+34.6+6282.6+763.5+1.2+1097.3+5625.2+503.1+138.8+14.3+918.9</f>
        <v>164873.19999999995</v>
      </c>
      <c r="E19" s="95">
        <f>D19/D18*100</f>
        <v>73.5671921767827</v>
      </c>
      <c r="F19" s="95">
        <f t="shared" si="3"/>
        <v>94.78952327895126</v>
      </c>
      <c r="G19" s="95">
        <f t="shared" si="0"/>
        <v>86.08105673971778</v>
      </c>
      <c r="H19" s="105">
        <f t="shared" si="2"/>
        <v>9062.900000000052</v>
      </c>
      <c r="I19" s="105">
        <f t="shared" si="1"/>
        <v>26659.300000000047</v>
      </c>
    </row>
    <row r="20" spans="1:9" ht="18">
      <c r="A20" s="23" t="s">
        <v>5</v>
      </c>
      <c r="B20" s="42">
        <f>174067.6+926.9+771.4</f>
        <v>175765.9</v>
      </c>
      <c r="C20" s="43">
        <f>186641.3+2944.5+1636.3</f>
        <v>191222.09999999998</v>
      </c>
      <c r="D20" s="44">
        <f>5722.2+1+8655.9+32.9+2.4+5725.7+8251+357.7+0.1+5829.5+27.9+3957+4812.9+26.7+6036.7+16.8+6839+2416.2+22.3+6209+10229+319.3+6468+9728.3+1605.6+3790.5+3239.9+10406.4+0.1+6965.8+3+5278.9+3995.6+0.1+6242.7+6151.8+883.1+1990.1+6252.1+3.3+5936.1+3370.3+6282.6+5625.2+3940.4</f>
        <v>173651.1</v>
      </c>
      <c r="E20" s="1">
        <f>D20/D18*100</f>
        <v>77.48393216975053</v>
      </c>
      <c r="F20" s="1">
        <f t="shared" si="3"/>
        <v>98.79680870976681</v>
      </c>
      <c r="G20" s="1">
        <f t="shared" si="0"/>
        <v>90.81120853708856</v>
      </c>
      <c r="H20" s="44">
        <f t="shared" si="2"/>
        <v>2114.7999999999884</v>
      </c>
      <c r="I20" s="44">
        <f t="shared" si="1"/>
        <v>17570.99999999997</v>
      </c>
    </row>
    <row r="21" spans="1:9" ht="18">
      <c r="A21" s="23" t="s">
        <v>2</v>
      </c>
      <c r="B21" s="42">
        <f>21236.8+19.7-1029.2</f>
        <v>20227.3</v>
      </c>
      <c r="C21" s="43">
        <f>20454.1+500+110+1045.6+41+22.7-1738.6+1556.3</f>
        <v>21991.1</v>
      </c>
      <c r="D21" s="44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+421.2+265.3+662.7+47.1+1+217+189.1+64.2+52.8+268.3+247.3+5.2+0.1+305+0.3+507.1+593+42.6+7+27.3+448.8+265.6+26.9</f>
        <v>19719.89999999999</v>
      </c>
      <c r="E21" s="1">
        <f>D21/D18*100</f>
        <v>8.799111517256513</v>
      </c>
      <c r="F21" s="1">
        <f t="shared" si="3"/>
        <v>97.49150900021255</v>
      </c>
      <c r="G21" s="1">
        <f t="shared" si="0"/>
        <v>89.67218556597892</v>
      </c>
      <c r="H21" s="44">
        <f t="shared" si="2"/>
        <v>507.40000000000873</v>
      </c>
      <c r="I21" s="44">
        <f t="shared" si="1"/>
        <v>2271.200000000008</v>
      </c>
    </row>
    <row r="22" spans="1:9" ht="18">
      <c r="A22" s="23" t="s">
        <v>1</v>
      </c>
      <c r="B22" s="42">
        <v>4140</v>
      </c>
      <c r="C22" s="43">
        <f>3917.9+592.8</f>
        <v>4510.7</v>
      </c>
      <c r="D22" s="44">
        <f>127.7+23.6+33.5+86.7+19.5+2.9+68.3+78.1+10.6+165.4+2.5+15.8+6.5+60.2+104.3+141.7+2.3+23.7+90.2+22.1+28.3+93.7+27.2-0.1+0.2+54.7+9.9+37.6+110.2+182.3+0.1+39.2+35.9+64.9+14.2+28+147.6+14.5+0.1+67.9+38.7+142.7+29+23+176.1+16.8+117.5+127.9+4.9+25.4+0.3+70.1+52.4+60.2+167.6+9.3+4.7+70.1+97.5+141.1+197.6+16+37.2+73.8+102.3+177.4+0.1+28.4</f>
        <v>4050.1000000000004</v>
      </c>
      <c r="E22" s="1">
        <f>D22/D18*100</f>
        <v>1.8071735432756062</v>
      </c>
      <c r="F22" s="1">
        <f t="shared" si="3"/>
        <v>97.82850241545896</v>
      </c>
      <c r="G22" s="1">
        <f t="shared" si="0"/>
        <v>89.78872458820139</v>
      </c>
      <c r="H22" s="44">
        <f t="shared" si="2"/>
        <v>89.89999999999964</v>
      </c>
      <c r="I22" s="44">
        <f t="shared" si="1"/>
        <v>460.59999999999945</v>
      </c>
    </row>
    <row r="23" spans="1:9" ht="18">
      <c r="A23" s="23" t="s">
        <v>0</v>
      </c>
      <c r="B23" s="42">
        <f>24861.4-822.6</f>
        <v>24038.800000000003</v>
      </c>
      <c r="C23" s="43">
        <f>27804.4+1919-1532</f>
        <v>28191.4</v>
      </c>
      <c r="D23" s="44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+353.8+1.3+9.8+40+0.6+7.8-7.8+18.1+333.9+6.4+365.2+149.9+2.3+84.7+631.5+300.2+28.1+473.4+1.8+2.6+742.2+16.5+84.5-12.9+12.9+811.8</f>
        <v>19230.199999999993</v>
      </c>
      <c r="E23" s="1">
        <f>D23/D18*100</f>
        <v>8.580605089232005</v>
      </c>
      <c r="F23" s="1">
        <f t="shared" si="3"/>
        <v>79.99650564920043</v>
      </c>
      <c r="G23" s="1">
        <f t="shared" si="0"/>
        <v>68.21300112800355</v>
      </c>
      <c r="H23" s="44">
        <f t="shared" si="2"/>
        <v>4808.6000000000095</v>
      </c>
      <c r="I23" s="44">
        <f t="shared" si="1"/>
        <v>8961.200000000008</v>
      </c>
    </row>
    <row r="24" spans="1:9" ht="18">
      <c r="A24" s="23" t="s">
        <v>14</v>
      </c>
      <c r="B24" s="42">
        <f>1506-56.9</f>
        <v>1449.1</v>
      </c>
      <c r="C24" s="43">
        <f>1591.6+29.5-66.9</f>
        <v>1554.1999999999998</v>
      </c>
      <c r="D24" s="44">
        <f>73.6+22.6+5.3+2.4+2.5+128.1+0.1+11.5+121.2+11.2-0.1+27.3+71.1+31.4-0.1+0.8+24.6+83.5+19.6+26.5+24.2+67.9+2.3+4+48.1+8.9+75.1+2+0.1+126.5+0.8+36.4+6.5+68.6+1.9+11.7+18.6+90+2.2+13.7+46.9+77.6-0.1</f>
        <v>1397</v>
      </c>
      <c r="E24" s="1">
        <f>D24/D18*100</f>
        <v>0.6233479272008152</v>
      </c>
      <c r="F24" s="1">
        <f t="shared" si="3"/>
        <v>96.40466496446071</v>
      </c>
      <c r="G24" s="1">
        <f t="shared" si="0"/>
        <v>89.88547162527347</v>
      </c>
      <c r="H24" s="44">
        <f t="shared" si="2"/>
        <v>52.09999999999991</v>
      </c>
      <c r="I24" s="44">
        <f t="shared" si="1"/>
        <v>157.19999999999982</v>
      </c>
    </row>
    <row r="25" spans="1:9" ht="18.75" thickBot="1">
      <c r="A25" s="23" t="s">
        <v>29</v>
      </c>
      <c r="B25" s="43">
        <f>B18-B20-B21-B22-B23-B24</f>
        <v>13598.000000000005</v>
      </c>
      <c r="C25" s="43">
        <f>C18-C20-C21-C22-C23-C24</f>
        <v>13166.200000000037</v>
      </c>
      <c r="D25" s="43">
        <f>D18-D20-D21-D22-D23-D24</f>
        <v>6064.100000000031</v>
      </c>
      <c r="E25" s="1">
        <f>D25/D18*100</f>
        <v>2.7058297532845264</v>
      </c>
      <c r="F25" s="1">
        <f t="shared" si="3"/>
        <v>44.59552875422877</v>
      </c>
      <c r="G25" s="1">
        <f t="shared" si="0"/>
        <v>46.05808813476944</v>
      </c>
      <c r="H25" s="44">
        <f t="shared" si="2"/>
        <v>7533.899999999974</v>
      </c>
      <c r="I25" s="44">
        <f t="shared" si="1"/>
        <v>7102.100000000006</v>
      </c>
    </row>
    <row r="26" spans="1:9" ht="57" hidden="1" thickBot="1">
      <c r="A26" s="96" t="s">
        <v>75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76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77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78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79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80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81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45284.5+623.2</f>
        <v>45907.7</v>
      </c>
      <c r="C33" s="46">
        <f>50266.1+19.2-3069.6+1137.5+1480.3+40-40+150+753.5</f>
        <v>50737</v>
      </c>
      <c r="D33" s="50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+1.7+60.6+3.3+48.7+268.9+1582+26.6+38-76+120.9+152.8+6.6+6+1422.9+3.8+0.2+60.7+4.5+56.1+22.2+23.9+19.9+0.3+1776.6+10.6+0.3+13.6+170+1.2+164.4+3.2+0.4+378.1+1161.2+116.7+0.6+51.3+106.3+2.9+90.8+1490.5+21.8-0.1+56.8</f>
        <v>42623.8</v>
      </c>
      <c r="E33" s="3">
        <f>D33/D150*100</f>
        <v>3.1465888835064195</v>
      </c>
      <c r="F33" s="3">
        <f>D33/B33*100</f>
        <v>92.84673377233015</v>
      </c>
      <c r="G33" s="3">
        <f t="shared" si="0"/>
        <v>84.00930287561347</v>
      </c>
      <c r="H33" s="47">
        <f t="shared" si="2"/>
        <v>3283.899999999994</v>
      </c>
      <c r="I33" s="47">
        <f t="shared" si="1"/>
        <v>8113.199999999997</v>
      </c>
    </row>
    <row r="34" spans="1:9" ht="18">
      <c r="A34" s="23" t="s">
        <v>3</v>
      </c>
      <c r="B34" s="42">
        <f>32914+0.2</f>
        <v>32914.2</v>
      </c>
      <c r="C34" s="43">
        <f>35016.6+195.2+1137.5</f>
        <v>36349.299999999996</v>
      </c>
      <c r="D34" s="44">
        <f>1335+1268.2+1354.9+1304.2+1357+1359.6+1365.6+1342.2+1381.4+3.9+1624.5+11.9+0.1+10+3950.5+2820.4+0.1+74+93.6+20+430.6+329.1+0.1+119.6+19.5+358.3+39+1137.3+0.1+58.6+10+1391+48.8+259.9+1234.6+4.8+1421.2+1707.9+0.3+279.3+1161.2+1481.7+0.1</f>
        <v>32170.099999999988</v>
      </c>
      <c r="E34" s="1">
        <f>D34/D33*100</f>
        <v>75.47450016188135</v>
      </c>
      <c r="F34" s="1">
        <f t="shared" si="3"/>
        <v>97.7392736265806</v>
      </c>
      <c r="G34" s="1">
        <f t="shared" si="0"/>
        <v>88.50266717653432</v>
      </c>
      <c r="H34" s="44">
        <f t="shared" si="2"/>
        <v>744.1000000000095</v>
      </c>
      <c r="I34" s="44">
        <f t="shared" si="1"/>
        <v>4179.200000000008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2769.6</v>
      </c>
      <c r="C36" s="43">
        <v>3384.4</v>
      </c>
      <c r="D36" s="44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+2.7+1.2+9+4.1+1.8+0.3+0.2+5.6+0.9+0.7+0.3+11.3+12+0.3+0.7+3.1+13.6+22.8+18.5+3.2+0.4+59.1+7.3+21.4+6-1.4</f>
        <v>1476.3999999999992</v>
      </c>
      <c r="E36" s="1">
        <f>D36/D33*100</f>
        <v>3.4637925290565343</v>
      </c>
      <c r="F36" s="1">
        <f t="shared" si="3"/>
        <v>53.30733679953781</v>
      </c>
      <c r="G36" s="1">
        <f t="shared" si="0"/>
        <v>43.62368514360002</v>
      </c>
      <c r="H36" s="44">
        <f t="shared" si="2"/>
        <v>1293.2000000000007</v>
      </c>
      <c r="I36" s="44">
        <f t="shared" si="1"/>
        <v>1908.000000000001</v>
      </c>
    </row>
    <row r="37" spans="1:9" s="37" customFormat="1" ht="18.75">
      <c r="A37" s="18" t="s">
        <v>7</v>
      </c>
      <c r="B37" s="51">
        <f>915.3+50</f>
        <v>965.3</v>
      </c>
      <c r="C37" s="52">
        <f>929.3+40-40+180.3</f>
        <v>1109.6</v>
      </c>
      <c r="D37" s="53">
        <f>11.2+19.5+15.2+5+5.7-0.1+1.9+5.1+7+0.3+7.7+25.8+82+15.4+14.3+13.2+14.4+42.6+0.1+37.6+3+2.6+0.8+1.6+3.9+98.6+0.5+15.5+1.7+3.3+166.5+5.9+37.9+118.4+6.4+2.7+15.3+30.5+7.5+1.2+1.8+21.8+0.1+8</f>
        <v>879.4</v>
      </c>
      <c r="E37" s="17">
        <f>D37/D33*100</f>
        <v>2.0631665876810605</v>
      </c>
      <c r="F37" s="17">
        <f t="shared" si="3"/>
        <v>91.10121205842744</v>
      </c>
      <c r="G37" s="17">
        <f t="shared" si="0"/>
        <v>79.25378514780101</v>
      </c>
      <c r="H37" s="53">
        <f t="shared" si="2"/>
        <v>85.89999999999998</v>
      </c>
      <c r="I37" s="53">
        <f t="shared" si="1"/>
        <v>230.19999999999993</v>
      </c>
    </row>
    <row r="38" spans="1:9" ht="18">
      <c r="A38" s="23" t="s">
        <v>14</v>
      </c>
      <c r="B38" s="42">
        <v>55.7</v>
      </c>
      <c r="C38" s="43">
        <v>60.8</v>
      </c>
      <c r="D38" s="43">
        <f>5.1+5.1+5.1+5.1+5.1+4.8+24.8</f>
        <v>55.1</v>
      </c>
      <c r="E38" s="1">
        <f>D38/D33*100</f>
        <v>0.1292705014569325</v>
      </c>
      <c r="F38" s="1">
        <f t="shared" si="3"/>
        <v>98.92280071813285</v>
      </c>
      <c r="G38" s="1">
        <f t="shared" si="0"/>
        <v>90.62500000000001</v>
      </c>
      <c r="H38" s="44">
        <f t="shared" si="2"/>
        <v>0.6000000000000014</v>
      </c>
      <c r="I38" s="44">
        <f t="shared" si="1"/>
        <v>5.699999999999996</v>
      </c>
    </row>
    <row r="39" spans="1:9" ht="18.75" thickBot="1">
      <c r="A39" s="23" t="s">
        <v>29</v>
      </c>
      <c r="B39" s="42">
        <f>B33-B34-B36-B37-B35-B38</f>
        <v>9202.9</v>
      </c>
      <c r="C39" s="42">
        <f>C33-C34-C36-C37-C35-C38</f>
        <v>9832.900000000005</v>
      </c>
      <c r="D39" s="42">
        <f>D33-D34-D36-D37-D35-D38</f>
        <v>8042.800000000016</v>
      </c>
      <c r="E39" s="1">
        <f>D39/D33*100</f>
        <v>18.869270219924115</v>
      </c>
      <c r="F39" s="1">
        <f t="shared" si="3"/>
        <v>87.39419096154491</v>
      </c>
      <c r="G39" s="1">
        <f t="shared" si="0"/>
        <v>81.79479095688974</v>
      </c>
      <c r="H39" s="44">
        <f>B39-D39</f>
        <v>1160.099999999984</v>
      </c>
      <c r="I39" s="44">
        <f t="shared" si="1"/>
        <v>1790.0999999999894</v>
      </c>
    </row>
    <row r="40" spans="1:9" ht="19.5" hidden="1" thickBot="1">
      <c r="A40" s="96" t="s">
        <v>72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73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74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1317.2</v>
      </c>
      <c r="C43" s="46">
        <f>829.5+61+9+3+3+433+103</f>
        <v>1441.5</v>
      </c>
      <c r="D43" s="47">
        <f>22.2+3+5+12.1+5.3+62.1+8.7+22.7+11.7+44.1-0.1+8.7+8.3+9+2+12.1+30.9+11+14.3+28.5+0.1+1.2+34+0.6+0.1+2.3+3+1.5+17.9+19.5+82.4-0.1+0.8+8.4+18.6+22.3+0.1+13.7+8+9.3+10.6+0.7+8+22.7+7+24+0.8+46.6-0.1+44.2+12+12.3+28.6+7.7+3+7.3+6.3+20.4+6+23.8+26.5+12+34.6+25+3.3+5.6+50.7+4.5+14.7+4.9+17.2+42.3+3.3+17.7</f>
        <v>1119.5000000000002</v>
      </c>
      <c r="E43" s="3">
        <f>D43/D150*100</f>
        <v>0.08264411561347033</v>
      </c>
      <c r="F43" s="3">
        <f>D43/B43*100</f>
        <v>84.99088976617067</v>
      </c>
      <c r="G43" s="3">
        <f t="shared" si="0"/>
        <v>77.6621574748526</v>
      </c>
      <c r="H43" s="47">
        <f t="shared" si="2"/>
        <v>197.69999999999982</v>
      </c>
      <c r="I43" s="47">
        <f t="shared" si="1"/>
        <v>321.9999999999998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48</v>
      </c>
      <c r="B45" s="45">
        <v>7026.5</v>
      </c>
      <c r="C45" s="46">
        <f>7741.6+45.3</f>
        <v>7786.900000000001</v>
      </c>
      <c r="D45" s="47">
        <f>224.1+260.8+14.4+236.4+3.2+114.6+291.3+0.1+96+241.4+13.4+0.1+331+0.7-0.1+39.8+268.9+0.5+9.3+307.6+278.3+1.8+5.2+302.3+9.3+4.6+275.3+25.3+352.3+6.4+0.1+14.8+50.6+5.2+267.1+7.9+293.7+39+18+185.4+5.5+5.1+343.4-0.1+16.4+242.5+9.9+311.7+242+0.2+6.6+3.4+1+383.3+42.7+215+1.4+13.2+3.2+341.3-0.1</f>
        <v>6783.699999999998</v>
      </c>
      <c r="E45" s="3">
        <f>D45/D150*100</f>
        <v>0.500788644115318</v>
      </c>
      <c r="F45" s="3">
        <f>D45/B45*100</f>
        <v>96.54451006902438</v>
      </c>
      <c r="G45" s="3">
        <f aca="true" t="shared" si="4" ref="G45:G76">D45/C45*100</f>
        <v>87.1168244102274</v>
      </c>
      <c r="H45" s="47">
        <f>B45-D45</f>
        <v>242.800000000002</v>
      </c>
      <c r="I45" s="47">
        <f aca="true" t="shared" si="5" ref="I45:I77">C45-D45</f>
        <v>1003.2000000000025</v>
      </c>
    </row>
    <row r="46" spans="1:9" ht="18">
      <c r="A46" s="23" t="s">
        <v>3</v>
      </c>
      <c r="B46" s="42">
        <v>6177.3</v>
      </c>
      <c r="C46" s="43">
        <v>6753.6</v>
      </c>
      <c r="D46" s="44">
        <f>224.1+258.6+235.3+288.8+241.4+328.6+224.6+306.6+239.4+298.3+269.8+13.5+346.9+45.8+263.2+291.7-0.1+38.6+180.3+343.4+215.2+305.6+213.9+383.3+0.1+215+341.3</f>
        <v>6113.200000000001</v>
      </c>
      <c r="E46" s="1">
        <f>D46/D45*100</f>
        <v>90.11601338502591</v>
      </c>
      <c r="F46" s="1">
        <f aca="true" t="shared" si="6" ref="F46:F74">D46/B46*100</f>
        <v>98.96232982047174</v>
      </c>
      <c r="G46" s="1">
        <f t="shared" si="4"/>
        <v>90.51764984600807</v>
      </c>
      <c r="H46" s="44">
        <f aca="true" t="shared" si="7" ref="H46:H74">B46-D46</f>
        <v>64.09999999999945</v>
      </c>
      <c r="I46" s="44">
        <f t="shared" si="5"/>
        <v>640.3999999999996</v>
      </c>
    </row>
    <row r="47" spans="1:9" ht="18">
      <c r="A47" s="23" t="s">
        <v>2</v>
      </c>
      <c r="B47" s="42">
        <v>1.3</v>
      </c>
      <c r="C47" s="43">
        <v>1.3</v>
      </c>
      <c r="D47" s="44">
        <f>0.3+0.4+0.1+0.3+0.2</f>
        <v>1.2999999999999998</v>
      </c>
      <c r="E47" s="1">
        <f>D47/D45*100</f>
        <v>0.019163583295251856</v>
      </c>
      <c r="F47" s="1">
        <f t="shared" si="6"/>
        <v>99.99999999999997</v>
      </c>
      <c r="G47" s="1">
        <f t="shared" si="4"/>
        <v>99.99999999999997</v>
      </c>
      <c r="H47" s="44">
        <f t="shared" si="7"/>
        <v>0</v>
      </c>
      <c r="I47" s="44">
        <f t="shared" si="5"/>
        <v>0</v>
      </c>
    </row>
    <row r="48" spans="1:9" ht="18">
      <c r="A48" s="23" t="s">
        <v>1</v>
      </c>
      <c r="B48" s="42">
        <v>56.4</v>
      </c>
      <c r="C48" s="43">
        <v>70.7</v>
      </c>
      <c r="D48" s="44">
        <f>0.2+2.1+0.1+6.5+6.7-0.1+7+4.6+1.6+2+4.6+6.4-0.1+6.3</f>
        <v>47.9</v>
      </c>
      <c r="E48" s="1">
        <f>D48/D45*100</f>
        <v>0.706104338340434</v>
      </c>
      <c r="F48" s="1">
        <f t="shared" si="6"/>
        <v>84.9290780141844</v>
      </c>
      <c r="G48" s="1">
        <f t="shared" si="4"/>
        <v>67.75106082036774</v>
      </c>
      <c r="H48" s="44">
        <f t="shared" si="7"/>
        <v>8.5</v>
      </c>
      <c r="I48" s="44">
        <f t="shared" si="5"/>
        <v>22.800000000000004</v>
      </c>
    </row>
    <row r="49" spans="1:9" ht="18">
      <c r="A49" s="23" t="s">
        <v>0</v>
      </c>
      <c r="B49" s="42">
        <v>470.1</v>
      </c>
      <c r="C49" s="43">
        <f>568.5+40.5</f>
        <v>609</v>
      </c>
      <c r="D49" s="44">
        <f>2.2+2.5+0.8+112.4+2.2+0.1+69.1+4.4-0.1+35.2+27.4+4.8+1+22.3+2.5+1.6+0.6+4.2-0.1+0.5+5.1+0.3+0.5+1.6+0.3+1.5+1.7+0.6+5.1+18.9+9.9</f>
        <v>339.1000000000001</v>
      </c>
      <c r="E49" s="1">
        <f>D49/D45*100</f>
        <v>4.998746996476852</v>
      </c>
      <c r="F49" s="1">
        <f t="shared" si="6"/>
        <v>72.13358859817062</v>
      </c>
      <c r="G49" s="1">
        <f t="shared" si="4"/>
        <v>55.68144499178983</v>
      </c>
      <c r="H49" s="44">
        <f t="shared" si="7"/>
        <v>130.99999999999994</v>
      </c>
      <c r="I49" s="44">
        <f t="shared" si="5"/>
        <v>269.8999999999999</v>
      </c>
    </row>
    <row r="50" spans="1:9" ht="18.75" thickBot="1">
      <c r="A50" s="23" t="s">
        <v>29</v>
      </c>
      <c r="B50" s="43">
        <f>B45-B46-B49-B48-B47</f>
        <v>321.3999999999998</v>
      </c>
      <c r="C50" s="43">
        <f>C45-C46-C49-C48-C47</f>
        <v>352.3000000000002</v>
      </c>
      <c r="D50" s="43">
        <f>D45-D46-D49-D48-D47</f>
        <v>282.1999999999972</v>
      </c>
      <c r="E50" s="1">
        <f>D50/D45*100</f>
        <v>4.159971696861555</v>
      </c>
      <c r="F50" s="1">
        <f t="shared" si="6"/>
        <v>87.8033602986924</v>
      </c>
      <c r="G50" s="1">
        <f t="shared" si="4"/>
        <v>80.10218563724015</v>
      </c>
      <c r="H50" s="44">
        <f t="shared" si="7"/>
        <v>39.2000000000026</v>
      </c>
      <c r="I50" s="44">
        <f t="shared" si="5"/>
        <v>70.10000000000298</v>
      </c>
    </row>
    <row r="51" spans="1:9" ht="18.75" thickBot="1">
      <c r="A51" s="22" t="s">
        <v>4</v>
      </c>
      <c r="B51" s="45">
        <f>15003.4+380+298</f>
        <v>15681.4</v>
      </c>
      <c r="C51" s="46">
        <f>16075.7+36.8+200+828.6-580+380+298</f>
        <v>17239.1</v>
      </c>
      <c r="D51" s="47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+19.4+12.8+603.4+6.8+0.4+39+2+396.8+40+53.9+27.4+23.9+106.1+676.8-0.1+36.8+55.2+63.1+432.8+43.7+24.8+3.1+35.9+40.3+23.9+21.4+763.7+34.3+0.1+94.7</f>
        <v>13709.899999999989</v>
      </c>
      <c r="E51" s="3">
        <f>D51/D150*100</f>
        <v>1.0120969724422653</v>
      </c>
      <c r="F51" s="3">
        <f>D51/B51*100</f>
        <v>87.42778068284713</v>
      </c>
      <c r="G51" s="3">
        <f t="shared" si="4"/>
        <v>79.52793359282092</v>
      </c>
      <c r="H51" s="47">
        <f>B51-D51</f>
        <v>1971.500000000011</v>
      </c>
      <c r="I51" s="47">
        <f t="shared" si="5"/>
        <v>3529.20000000001</v>
      </c>
    </row>
    <row r="52" spans="1:9" ht="18">
      <c r="A52" s="23" t="s">
        <v>3</v>
      </c>
      <c r="B52" s="42">
        <v>9315.8</v>
      </c>
      <c r="C52" s="43">
        <v>10328.7</v>
      </c>
      <c r="D52" s="44">
        <f>8+294.9+437.7+298.5+423.7+297.9+451.2+294.5+446+301+554.2+412+820.4+487.4+393.4+0.1+169.4+354.3-0.1+300.5+8.5+507.2+314.4+656.2+356+3.3+1.1+497.6+0.1</f>
        <v>9089.399999999998</v>
      </c>
      <c r="E52" s="1">
        <f>D52/D51*100</f>
        <v>66.29807657240391</v>
      </c>
      <c r="F52" s="1">
        <f t="shared" si="6"/>
        <v>97.56972026020308</v>
      </c>
      <c r="G52" s="1">
        <f t="shared" si="4"/>
        <v>88.00139417351649</v>
      </c>
      <c r="H52" s="44">
        <f t="shared" si="7"/>
        <v>226.40000000000146</v>
      </c>
      <c r="I52" s="44">
        <f t="shared" si="5"/>
        <v>1239.300000000003</v>
      </c>
    </row>
    <row r="53" spans="1:9" ht="18">
      <c r="A53" s="23" t="s">
        <v>2</v>
      </c>
      <c r="B53" s="42">
        <v>9</v>
      </c>
      <c r="C53" s="43">
        <v>12</v>
      </c>
      <c r="D53" s="44">
        <f>1.4+1.5</f>
        <v>2.9</v>
      </c>
      <c r="E53" s="1">
        <f>D53/D51*100</f>
        <v>0.021152597757824656</v>
      </c>
      <c r="F53" s="1">
        <f>D53/B53*100</f>
        <v>32.22222222222222</v>
      </c>
      <c r="G53" s="1">
        <f t="shared" si="4"/>
        <v>24.166666666666668</v>
      </c>
      <c r="H53" s="44">
        <f t="shared" si="7"/>
        <v>6.1</v>
      </c>
      <c r="I53" s="44">
        <f t="shared" si="5"/>
        <v>9.1</v>
      </c>
    </row>
    <row r="54" spans="1:9" ht="18">
      <c r="A54" s="23" t="s">
        <v>1</v>
      </c>
      <c r="B54" s="42">
        <v>270.4</v>
      </c>
      <c r="C54" s="43">
        <v>287</v>
      </c>
      <c r="D54" s="44">
        <f>1.3+0.7+2.1+1+1.3+7.6+7.5+6.3+0.4+13+20.7+0.5+5.3+9.4+10+8.9+5.1+7.2+1-0.1+17.9+7.1+3.8+1.6+1.9+6.6+0.6+5.8+1.3+5.3+15.2+5.8+4.4+8.4+0.3+15+7.8+1.8+1.7+2.6+1.3+2.8+0.1+10.4</f>
        <v>238.7000000000001</v>
      </c>
      <c r="E54" s="1">
        <f>D54/D51*100</f>
        <v>1.7410776154457748</v>
      </c>
      <c r="F54" s="1">
        <f t="shared" si="6"/>
        <v>88.27662721893496</v>
      </c>
      <c r="G54" s="1">
        <f t="shared" si="4"/>
        <v>83.17073170731712</v>
      </c>
      <c r="H54" s="44">
        <f t="shared" si="7"/>
        <v>31.699999999999875</v>
      </c>
      <c r="I54" s="44">
        <f t="shared" si="5"/>
        <v>48.2999999999999</v>
      </c>
    </row>
    <row r="55" spans="1:9" ht="18">
      <c r="A55" s="23" t="s">
        <v>0</v>
      </c>
      <c r="B55" s="42">
        <v>792.7</v>
      </c>
      <c r="C55" s="43">
        <v>933.1</v>
      </c>
      <c r="D55" s="44">
        <f>10.7+0.6+7.6+85.1+28.4+14.4+0.1+8.5+0.1+7+0.1+7.7+62.8+6+1.3+0.9+0.9+1+0.7+0.1+4.7+15.2+34.9+9+4+15.8+5.5+7+1.9+1.5+0.1+2.4+1.8+3.7+1.3+4.5+2.3+0.7+0.1+1.8+6.8+1.6+0.7+0.5+1.1+12.5+0.8+0.8+0.7+9.2+0.6+1-1+0.4+0.9+0.3+11.5+1.7+0.6+0.8+0.5+4.3+12.2+0.4+18.8+1.4+1.7+0.1-0.2+3.2</f>
        <v>456.1</v>
      </c>
      <c r="E55" s="1">
        <f>D55/D51*100</f>
        <v>3.32679304735994</v>
      </c>
      <c r="F55" s="1">
        <f t="shared" si="6"/>
        <v>57.53752996089315</v>
      </c>
      <c r="G55" s="1">
        <f t="shared" si="4"/>
        <v>48.880077162147685</v>
      </c>
      <c r="H55" s="44">
        <f t="shared" si="7"/>
        <v>336.6</v>
      </c>
      <c r="I55" s="44">
        <f t="shared" si="5"/>
        <v>477</v>
      </c>
    </row>
    <row r="56" spans="1:9" ht="18">
      <c r="A56" s="23" t="s">
        <v>14</v>
      </c>
      <c r="B56" s="42">
        <f>200+80</f>
        <v>280</v>
      </c>
      <c r="C56" s="43">
        <f>200+80</f>
        <v>280</v>
      </c>
      <c r="D56" s="43">
        <f>40+40+40+40+40+40</f>
        <v>240</v>
      </c>
      <c r="E56" s="1">
        <f>D56/D51*100</f>
        <v>1.7505598144406613</v>
      </c>
      <c r="F56" s="1">
        <f>D56/B56*100</f>
        <v>85.71428571428571</v>
      </c>
      <c r="G56" s="1">
        <f>D56/C56*100</f>
        <v>85.71428571428571</v>
      </c>
      <c r="H56" s="44">
        <f t="shared" si="7"/>
        <v>40</v>
      </c>
      <c r="I56" s="44">
        <f t="shared" si="5"/>
        <v>40</v>
      </c>
    </row>
    <row r="57" spans="1:9" ht="18.75" thickBot="1">
      <c r="A57" s="23" t="s">
        <v>29</v>
      </c>
      <c r="B57" s="43">
        <f>B51-B52-B55-B54-B53-B56</f>
        <v>5013.500000000001</v>
      </c>
      <c r="C57" s="43">
        <f>C51-C52-C55-C54-C53-C56</f>
        <v>5398.299999999997</v>
      </c>
      <c r="D57" s="43">
        <f>D51-D52-D55-D54-D53-D56</f>
        <v>3682.79999999999</v>
      </c>
      <c r="E57" s="1">
        <f>D57/D51*100</f>
        <v>26.862340352591872</v>
      </c>
      <c r="F57" s="1">
        <f t="shared" si="6"/>
        <v>73.45766430637258</v>
      </c>
      <c r="G57" s="1">
        <f t="shared" si="4"/>
        <v>68.22147713168945</v>
      </c>
      <c r="H57" s="44">
        <f>B57-D57</f>
        <v>1330.7000000000107</v>
      </c>
      <c r="I57" s="44">
        <f>C57-D57</f>
        <v>1715.5000000000073</v>
      </c>
    </row>
    <row r="58" spans="1:9" s="37" customFormat="1" ht="19.5" hidden="1" thickBot="1">
      <c r="A58" s="96" t="s">
        <v>71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f>5841.1-80-327.3</f>
        <v>5433.8</v>
      </c>
      <c r="C59" s="46">
        <f>5881.8+134.4+115.2-20-80-327.3</f>
        <v>5704.099999999999</v>
      </c>
      <c r="D59" s="47">
        <f>43.5+4.7+72.8+47.2+46+5+62.5+3.8+40.9+35.3+2.1+2.9+21.1+3.9+86.8+0.2+2.7+44.1+47.3+140.1+0.1+45.6+13.8+0.9+95.5-0.1+6.7+60.6+0.7+0.5+92.7+2.8+4+111.8+66.3+34+5.8+77.7+2.3+68.7+75.6+2+307.4+46.6+2.4+84.1+735+554.7+36.1+0.4+4.7+6+1155-0.3+41.9+0.3+9.2+0.9+86.5-0.1+0.4+41.6+43.2+0.5+20.2+4.7+5.7+0.1+95.1+0.1</f>
        <v>4763.299999999998</v>
      </c>
      <c r="E59" s="3">
        <f>D59/D150*100</f>
        <v>0.3516379775807441</v>
      </c>
      <c r="F59" s="3">
        <f>D59/B59*100</f>
        <v>87.66056903088075</v>
      </c>
      <c r="G59" s="3">
        <f t="shared" si="4"/>
        <v>83.50660051541871</v>
      </c>
      <c r="H59" s="47">
        <f>B59-D59</f>
        <v>670.5000000000018</v>
      </c>
      <c r="I59" s="47">
        <f t="shared" si="5"/>
        <v>940.8000000000011</v>
      </c>
    </row>
    <row r="60" spans="1:9" ht="18">
      <c r="A60" s="23" t="s">
        <v>3</v>
      </c>
      <c r="B60" s="42">
        <v>1510.3</v>
      </c>
      <c r="C60" s="43">
        <f>1508.2+134.4</f>
        <v>1642.6000000000001</v>
      </c>
      <c r="D60" s="44">
        <f>43.5+72.8+47.2+62.5+0.1+35.3+86.8+44.1+125.7+41.4+92.3+60.6+92.7+66.3+68.7-0.1+2+54.7+84.1+36.1+101.8+41.9+86.5+41.3+95.1</f>
        <v>1483.3999999999999</v>
      </c>
      <c r="E60" s="1">
        <f>D60/D59*100</f>
        <v>31.1422753133332</v>
      </c>
      <c r="F60" s="1">
        <f t="shared" si="6"/>
        <v>98.2188969078991</v>
      </c>
      <c r="G60" s="1">
        <f t="shared" si="4"/>
        <v>90.30804821624253</v>
      </c>
      <c r="H60" s="44">
        <f t="shared" si="7"/>
        <v>26.90000000000009</v>
      </c>
      <c r="I60" s="44">
        <f t="shared" si="5"/>
        <v>159.20000000000027</v>
      </c>
    </row>
    <row r="61" spans="1:9" ht="18">
      <c r="A61" s="23" t="s">
        <v>1</v>
      </c>
      <c r="B61" s="42">
        <v>311.8</v>
      </c>
      <c r="C61" s="43">
        <f>331.8-20</f>
        <v>311.8</v>
      </c>
      <c r="D61" s="44">
        <f>111.8+77.7+75.6+46.6</f>
        <v>311.70000000000005</v>
      </c>
      <c r="E61" s="1">
        <f>D61/D59*100</f>
        <v>6.543782671677202</v>
      </c>
      <c r="F61" s="1">
        <f>D61/B61*100</f>
        <v>99.96792815907635</v>
      </c>
      <c r="G61" s="1">
        <f t="shared" si="4"/>
        <v>99.96792815907635</v>
      </c>
      <c r="H61" s="44">
        <f t="shared" si="7"/>
        <v>0.0999999999999659</v>
      </c>
      <c r="I61" s="44">
        <f t="shared" si="5"/>
        <v>0.0999999999999659</v>
      </c>
    </row>
    <row r="62" spans="1:9" ht="18">
      <c r="A62" s="23" t="s">
        <v>0</v>
      </c>
      <c r="B62" s="42">
        <v>532.5</v>
      </c>
      <c r="C62" s="43">
        <v>627.5</v>
      </c>
      <c r="D62" s="44">
        <f>4.7+45.7+4.9+40.9+19.8+3.9+46.3+9+12.6+0.9+3+0.3+2.8+0.3+0.1+2.2+0.3+2.2+0.3+3.3+0.5+5.5+0.2-1+0.5+20.2+3.9+5.7</f>
        <v>239</v>
      </c>
      <c r="E62" s="1">
        <f>D62/D59*100</f>
        <v>5.017529863749923</v>
      </c>
      <c r="F62" s="1">
        <f t="shared" si="6"/>
        <v>44.88262910798122</v>
      </c>
      <c r="G62" s="1">
        <f t="shared" si="4"/>
        <v>38.08764940239044</v>
      </c>
      <c r="H62" s="44">
        <f t="shared" si="7"/>
        <v>293.5</v>
      </c>
      <c r="I62" s="44">
        <f t="shared" si="5"/>
        <v>388.5</v>
      </c>
    </row>
    <row r="63" spans="1:9" ht="18">
      <c r="A63" s="23" t="s">
        <v>14</v>
      </c>
      <c r="B63" s="42">
        <f>3331.4-180-517.3</f>
        <v>2634.1000000000004</v>
      </c>
      <c r="C63" s="43">
        <f>3216.2+115.2-180-517.3</f>
        <v>2634.0999999999995</v>
      </c>
      <c r="D63" s="44">
        <f>252+735+554.4+1033.2+43.2</f>
        <v>2617.8</v>
      </c>
      <c r="E63" s="1">
        <f>D63/D59*100</f>
        <v>54.957697394663384</v>
      </c>
      <c r="F63" s="1">
        <f t="shared" si="6"/>
        <v>99.38119281728103</v>
      </c>
      <c r="G63" s="1">
        <f t="shared" si="4"/>
        <v>99.38119281728108</v>
      </c>
      <c r="H63" s="44">
        <f t="shared" si="7"/>
        <v>16.300000000000182</v>
      </c>
      <c r="I63" s="44">
        <f t="shared" si="5"/>
        <v>16.299999999999272</v>
      </c>
    </row>
    <row r="64" spans="1:9" ht="18.75" thickBot="1">
      <c r="A64" s="23" t="s">
        <v>29</v>
      </c>
      <c r="B64" s="43">
        <f>B59-B60-B62-B63-B61</f>
        <v>445.0999999999996</v>
      </c>
      <c r="C64" s="43">
        <f>C59-C60-C62-C63-C61</f>
        <v>488.0999999999996</v>
      </c>
      <c r="D64" s="43">
        <f>D59-D60-D62-D63-D61</f>
        <v>111.3999999999985</v>
      </c>
      <c r="E64" s="1">
        <f>D64/D59*100</f>
        <v>2.3387147565762922</v>
      </c>
      <c r="F64" s="1">
        <f t="shared" si="6"/>
        <v>25.028083576724015</v>
      </c>
      <c r="G64" s="1">
        <f t="shared" si="4"/>
        <v>22.82319196885855</v>
      </c>
      <c r="H64" s="44">
        <f t="shared" si="7"/>
        <v>333.7000000000011</v>
      </c>
      <c r="I64" s="44">
        <f t="shared" si="5"/>
        <v>376.7000000000011</v>
      </c>
    </row>
    <row r="65" spans="1:9" s="37" customFormat="1" ht="19.5" hidden="1" thickBot="1">
      <c r="A65" s="96" t="s">
        <v>82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68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69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70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251.5</v>
      </c>
      <c r="C69" s="46">
        <f>C70+C71</f>
        <v>293.1</v>
      </c>
      <c r="D69" s="47">
        <f>SUM(D70:D71)</f>
        <v>179.5</v>
      </c>
      <c r="E69" s="35">
        <f>D69/D150*100</f>
        <v>0.013251110989386266</v>
      </c>
      <c r="F69" s="3">
        <f>D69/B69*100</f>
        <v>71.37176938369781</v>
      </c>
      <c r="G69" s="3">
        <f t="shared" si="4"/>
        <v>61.24189696349368</v>
      </c>
      <c r="H69" s="47">
        <f>B69-D69</f>
        <v>72</v>
      </c>
      <c r="I69" s="47">
        <f t="shared" si="5"/>
        <v>113.60000000000002</v>
      </c>
    </row>
    <row r="70" spans="1:9" ht="18">
      <c r="A70" s="23" t="s">
        <v>8</v>
      </c>
      <c r="B70" s="42">
        <v>170.9</v>
      </c>
      <c r="C70" s="43">
        <v>171</v>
      </c>
      <c r="D70" s="44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4">
        <f t="shared" si="7"/>
        <v>1</v>
      </c>
      <c r="I70" s="44">
        <f t="shared" si="5"/>
        <v>1.0999999999999943</v>
      </c>
    </row>
    <row r="71" spans="1:9" ht="18.75" thickBot="1">
      <c r="A71" s="23" t="s">
        <v>9</v>
      </c>
      <c r="B71" s="42">
        <f>99.3-18.7</f>
        <v>80.6</v>
      </c>
      <c r="C71" s="43">
        <f>149.8-9-18.3-0.4</f>
        <v>122.10000000000001</v>
      </c>
      <c r="D71" s="44">
        <f>9.6</f>
        <v>9.6</v>
      </c>
      <c r="E71" s="1">
        <f>D71/D70*100</f>
        <v>5.650382577987051</v>
      </c>
      <c r="F71" s="1">
        <f t="shared" si="6"/>
        <v>11.910669975186105</v>
      </c>
      <c r="G71" s="1">
        <f t="shared" si="4"/>
        <v>7.862407862407863</v>
      </c>
      <c r="H71" s="44">
        <f t="shared" si="7"/>
        <v>71</v>
      </c>
      <c r="I71" s="44">
        <f t="shared" si="5"/>
        <v>112.50000000000001</v>
      </c>
    </row>
    <row r="72" spans="1:9" ht="38.25" hidden="1" thickBot="1">
      <c r="A72" s="13" t="s">
        <v>45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49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50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36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46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996</v>
      </c>
      <c r="C77" s="62">
        <f>10000-8192+3069.6-3069.6</f>
        <v>1808.0000000000005</v>
      </c>
      <c r="D77" s="63"/>
      <c r="E77" s="41"/>
      <c r="F77" s="41"/>
      <c r="G77" s="41"/>
      <c r="H77" s="63">
        <f>B77-D77</f>
        <v>996</v>
      </c>
      <c r="I77" s="63">
        <f t="shared" si="5"/>
        <v>1808.0000000000005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62</v>
      </c>
      <c r="B79" s="54"/>
      <c r="C79" s="46">
        <f>C80+C81</f>
        <v>0</v>
      </c>
      <c r="D79" s="46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61</v>
      </c>
      <c r="B80" s="64"/>
      <c r="C80" s="43">
        <f>50-50</f>
        <v>0</v>
      </c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57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35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42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37</v>
      </c>
      <c r="B84" s="54"/>
      <c r="C84" s="46">
        <f>C85+C86</f>
        <v>0</v>
      </c>
      <c r="D84" s="46">
        <f>D85+D86</f>
        <v>0</v>
      </c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38</v>
      </c>
      <c r="B87" s="54"/>
      <c r="C87" s="46">
        <f>SUM(C88:C89)</f>
        <v>0</v>
      </c>
      <c r="D87" s="46">
        <f>SUM(D88:D89)</f>
        <v>0</v>
      </c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55447.2+28.8+1684.5</f>
        <v>57160.5</v>
      </c>
      <c r="C90" s="46">
        <f>50201.5+5861+2853.8+11.8-0.1+368.5+374.4+150.3+28.8+3184</f>
        <v>63034.000000000015</v>
      </c>
      <c r="D90" s="47">
        <f>44075.1+103.3+46.5+25+15.6+5.7+164.2+1847.8+521.6+2.8+15.8+61.2+46.7+110.4+15+130.8+28.4+129.4+817.1+784.9+173.2+280.6+8.2+18.5+36.5+8.8+35.3+16+2745.3+1166.5+18.3+110.5</f>
        <v>53565.00000000001</v>
      </c>
      <c r="E90" s="3">
        <f>D90/D150*100</f>
        <v>3.95429392839262</v>
      </c>
      <c r="F90" s="3">
        <f aca="true" t="shared" si="10" ref="F90:F96">D90/B90*100</f>
        <v>93.70981709397225</v>
      </c>
      <c r="G90" s="3">
        <f t="shared" si="8"/>
        <v>84.97794840879524</v>
      </c>
      <c r="H90" s="47">
        <f aca="true" t="shared" si="11" ref="H90:H96">B90-D90</f>
        <v>3595.4999999999927</v>
      </c>
      <c r="I90" s="47">
        <f t="shared" si="9"/>
        <v>9469.000000000007</v>
      </c>
    </row>
    <row r="91" spans="1:9" ht="18">
      <c r="A91" s="23" t="s">
        <v>3</v>
      </c>
      <c r="B91" s="42">
        <f>45976.7+1674</f>
        <v>47650.7</v>
      </c>
      <c r="C91" s="43">
        <f>41785.6+5825.3+1852.2+217.6+3277</f>
        <v>52957.7</v>
      </c>
      <c r="D91" s="44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+1.9+11.2+2.4+26.3+683.5+6.9+1760.8-43.9+44.1+47.2+3.7+44.6+6.8+29.2+525.1+755.5+10.1+5.2+1823.3+518.1+13.3+32.3+21+129.4+807.6+765.2+6.5+247.2+1.5+24.5+2619.8+1153.5</f>
        <v>45962.19999999999</v>
      </c>
      <c r="E91" s="1">
        <f>D91/D90*100</f>
        <v>85.80640343507885</v>
      </c>
      <c r="F91" s="1">
        <f t="shared" si="10"/>
        <v>96.4565053608866</v>
      </c>
      <c r="G91" s="1">
        <f t="shared" si="8"/>
        <v>86.7904006405112</v>
      </c>
      <c r="H91" s="44">
        <f t="shared" si="11"/>
        <v>1688.5000000000073</v>
      </c>
      <c r="I91" s="44">
        <f t="shared" si="9"/>
        <v>6995.500000000007</v>
      </c>
    </row>
    <row r="92" spans="1:9" ht="18">
      <c r="A92" s="23" t="s">
        <v>27</v>
      </c>
      <c r="B92" s="42">
        <v>1830</v>
      </c>
      <c r="C92" s="43">
        <f>2476+1-355.6-100</f>
        <v>2021.4</v>
      </c>
      <c r="D92" s="44">
        <f>9.8+96.8+35.3+50.2+1.4+30+1.1+18.1+138.1+43.8+4.2+9.3+27.5+5.8+0.2+2.4+1+11.7+14.7+34.3+26.9+2.8+30.4+0.1+10.2+1.4+0.2+22+131.7+1.9+1.6+30.8+150.2+0.9+0.6+2.2+0.6+31.6+20.6+1+0.3+3+17.7+35.6+0.9+0.3+39.3+12.6+23.9+20.8+0.8+3.9+30.4+0.7-20.7+16.1+5+57.9+10.9+15.8+1.8+117.3+0.9+61.8+5.7+24.2</f>
        <v>1490.3</v>
      </c>
      <c r="E92" s="1">
        <f>D92/D90*100</f>
        <v>2.7822272005974047</v>
      </c>
      <c r="F92" s="1">
        <f t="shared" si="10"/>
        <v>81.43715846994535</v>
      </c>
      <c r="G92" s="1">
        <f t="shared" si="8"/>
        <v>73.72613040467002</v>
      </c>
      <c r="H92" s="44">
        <f t="shared" si="11"/>
        <v>339.70000000000005</v>
      </c>
      <c r="I92" s="44">
        <f t="shared" si="9"/>
        <v>531.1000000000001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29</v>
      </c>
      <c r="B94" s="43">
        <f>B90-B91-B92-B93</f>
        <v>7679.800000000003</v>
      </c>
      <c r="C94" s="43">
        <f>C90-C91-C92-C93</f>
        <v>8054.900000000018</v>
      </c>
      <c r="D94" s="43">
        <f>D90-D91-D92-D93</f>
        <v>6112.500000000017</v>
      </c>
      <c r="E94" s="1">
        <f>D94/D90*100</f>
        <v>11.411369364323749</v>
      </c>
      <c r="F94" s="1">
        <f t="shared" si="10"/>
        <v>79.5919164561579</v>
      </c>
      <c r="G94" s="1">
        <f>D94/C94*100</f>
        <v>75.88548585333156</v>
      </c>
      <c r="H94" s="44">
        <f t="shared" si="11"/>
        <v>1567.2999999999856</v>
      </c>
      <c r="I94" s="44">
        <f>C94-D94</f>
        <v>1942.4000000000005</v>
      </c>
    </row>
    <row r="95" spans="1:9" ht="18.75">
      <c r="A95" s="108" t="s">
        <v>12</v>
      </c>
      <c r="B95" s="111">
        <f>73728.7+111.6-295.8</f>
        <v>73544.5</v>
      </c>
      <c r="C95" s="113">
        <f>63500.4+11490.6+4535.2-1.1-1111.2+1589.3-1380+1170.8+341.6-41.2-0.1</f>
        <v>80094.3</v>
      </c>
      <c r="D95" s="112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+190.3+238.7+178.1+272+84.2+347.5+338.9+2528.3+1004.6+206.7+0.8+96.1+194.7+14.8+157.3+441.3+104.7+123.9+144.5+1256.9+0.2-146.7+802.5+10.4+368.4+25+414.5+449.3+643.2+125+30.7+32.1+466.1+198.7+96.7+0.1+73.5+156.3+101.7+133.9+2+0.1+854+1070.6</f>
        <v>72745.1</v>
      </c>
      <c r="E95" s="107">
        <f>D95/D150*100</f>
        <v>5.370213894339849</v>
      </c>
      <c r="F95" s="110">
        <f t="shared" si="10"/>
        <v>98.9130390443881</v>
      </c>
      <c r="G95" s="106">
        <f>D95/C95*100</f>
        <v>90.82431583770631</v>
      </c>
      <c r="H95" s="112">
        <f t="shared" si="11"/>
        <v>799.3999999999942</v>
      </c>
      <c r="I95" s="122">
        <f>C95-D95</f>
        <v>7349.199999999997</v>
      </c>
    </row>
    <row r="96" spans="1:9" ht="18.75" thickBot="1">
      <c r="A96" s="109" t="s">
        <v>89</v>
      </c>
      <c r="B96" s="114">
        <v>7264.1</v>
      </c>
      <c r="C96" s="115">
        <f>5343.5+287.2+2416.8+30+300</f>
        <v>8377.5</v>
      </c>
      <c r="D96" s="116">
        <f>4529.8+517.7+29.4+13.1+5+72.5+64.2-0.1+1.6+4.9+643.2+21+0.1+73.5+722.1</f>
        <v>6698</v>
      </c>
      <c r="E96" s="117">
        <f>D96/D95*100</f>
        <v>9.20749301327512</v>
      </c>
      <c r="F96" s="118">
        <f t="shared" si="10"/>
        <v>92.2068804118886</v>
      </c>
      <c r="G96" s="119">
        <f>D96/C96*100</f>
        <v>79.95225305878843</v>
      </c>
      <c r="H96" s="123">
        <f t="shared" si="11"/>
        <v>566.1000000000004</v>
      </c>
      <c r="I96" s="124">
        <f>C96-D96</f>
        <v>1679.5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40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55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9549.5-1274.7</f>
        <v>8274.8</v>
      </c>
      <c r="C102" s="92">
        <f>10703.3-154-3.5-134.3+83.4+37+0.1+6-1288.7</f>
        <v>9249.3</v>
      </c>
      <c r="D102" s="79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+3.2+62.9+4.2+24.9+28.5+7.2+36.4+13.4-69.2-69.4+10.7+20.3+13+179+16.4+2+1.8+74.8+3.8+60.7+62.9+61.1+139.1+21.8+20.2+27.6+153.5+5+17.2+40.4+20.9+2+225+32.7+23.2+2.9+42.3+13.2</f>
        <v>7016.399999999999</v>
      </c>
      <c r="E102" s="19">
        <f>D102/D150*100</f>
        <v>0.5179671038770461</v>
      </c>
      <c r="F102" s="19">
        <f>D102/B102*100</f>
        <v>84.79238168898341</v>
      </c>
      <c r="G102" s="19">
        <f aca="true" t="shared" si="12" ref="G102:G148">D102/C102*100</f>
        <v>75.85871363238297</v>
      </c>
      <c r="H102" s="79">
        <f aca="true" t="shared" si="13" ref="H102:H107">B102-D102</f>
        <v>1258.4000000000005</v>
      </c>
      <c r="I102" s="79">
        <f aca="true" t="shared" si="14" ref="I102:I148">C102-D102</f>
        <v>2232.9000000000005</v>
      </c>
    </row>
    <row r="103" spans="1:9" ht="18">
      <c r="A103" s="23" t="s">
        <v>3</v>
      </c>
      <c r="B103" s="89">
        <v>155.7</v>
      </c>
      <c r="C103" s="87">
        <v>187.6</v>
      </c>
      <c r="D103" s="87">
        <f>15.1+18.9-0.1+18.6+22.1+18.4+16.3+23.1</f>
        <v>132.4</v>
      </c>
      <c r="E103" s="83">
        <f>D103/D102*100</f>
        <v>1.887007582235905</v>
      </c>
      <c r="F103" s="1">
        <f>D103/B103*100</f>
        <v>85.03532434168272</v>
      </c>
      <c r="G103" s="83">
        <f>D103/C103*100</f>
        <v>70.57569296375267</v>
      </c>
      <c r="H103" s="87">
        <f t="shared" si="13"/>
        <v>23.299999999999983</v>
      </c>
      <c r="I103" s="87">
        <f t="shared" si="14"/>
        <v>55.19999999999999</v>
      </c>
    </row>
    <row r="104" spans="1:9" ht="18">
      <c r="A104" s="85" t="s">
        <v>52</v>
      </c>
      <c r="B104" s="74">
        <f>7770.6-1552.9+517.3</f>
        <v>6735.000000000001</v>
      </c>
      <c r="C104" s="44">
        <f>8863.3-154-3.5-134.3+25.3+6+39.1-1049+11.4</f>
        <v>7604.299999999999</v>
      </c>
      <c r="D104" s="44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+3.1+62.9+4.2+2+3.7+25-0.1+1.8+178.8+16.4+2+1.8+69.8+3.8+60.7+13.3+54.1-0.2+15+1.8+133.5+5+17+40+2+213.5+26.8+0.2-26.7+28.1</f>
        <v>5800.9000000000015</v>
      </c>
      <c r="E104" s="1">
        <f>D104/D102*100</f>
        <v>82.67630123710168</v>
      </c>
      <c r="F104" s="1">
        <f aca="true" t="shared" si="15" ref="F104:F148">D104/B104*100</f>
        <v>86.13066072754269</v>
      </c>
      <c r="G104" s="1">
        <f t="shared" si="12"/>
        <v>76.28447062846024</v>
      </c>
      <c r="H104" s="44">
        <f t="shared" si="13"/>
        <v>934.0999999999995</v>
      </c>
      <c r="I104" s="44">
        <f t="shared" si="14"/>
        <v>1803.3999999999978</v>
      </c>
    </row>
    <row r="105" spans="1:9" ht="54.75" hidden="1" thickBot="1">
      <c r="A105" s="86" t="s">
        <v>85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29</v>
      </c>
      <c r="B106" s="88">
        <f>B102-B103-B104</f>
        <v>1384.0999999999985</v>
      </c>
      <c r="C106" s="88">
        <f>C102-C103-C104</f>
        <v>1457.3999999999996</v>
      </c>
      <c r="D106" s="88">
        <f>D102-D103-D104</f>
        <v>1083.0999999999976</v>
      </c>
      <c r="E106" s="84">
        <f>D106/D102*100</f>
        <v>15.436691180662418</v>
      </c>
      <c r="F106" s="84">
        <f t="shared" si="15"/>
        <v>78.253016400549</v>
      </c>
      <c r="G106" s="84">
        <f t="shared" si="12"/>
        <v>74.31727734321379</v>
      </c>
      <c r="H106" s="124">
        <f>B106-D106</f>
        <v>301.0000000000009</v>
      </c>
      <c r="I106" s="124">
        <f t="shared" si="14"/>
        <v>374.300000000002</v>
      </c>
    </row>
    <row r="107" spans="1:9" s="2" customFormat="1" ht="26.25" customHeight="1" thickBot="1">
      <c r="A107" s="80" t="s">
        <v>30</v>
      </c>
      <c r="B107" s="81">
        <f>SUM(B108:B147)-B115-B119+B148-B139-B140-B109-B112-B122-B123-B137-B131-B129</f>
        <v>554358.9000000001</v>
      </c>
      <c r="C107" s="81">
        <f>SUM(C108:C147)-C115-C119+C148-C139-C140-C109-C112-C122-C123-C137-C131-C129</f>
        <v>587496.6</v>
      </c>
      <c r="D107" s="81">
        <f>SUM(D108:D147)-D115-D119+D148-D139-D140-D109-D112-D122-D123-D137-D131-D129</f>
        <v>559388.7000000001</v>
      </c>
      <c r="E107" s="82">
        <f>D107/D150*100</f>
        <v>41.29538579336211</v>
      </c>
      <c r="F107" s="82">
        <f>D107/B107*100</f>
        <v>100.90731834556999</v>
      </c>
      <c r="G107" s="82">
        <f t="shared" si="12"/>
        <v>95.21564890758518</v>
      </c>
      <c r="H107" s="81">
        <f t="shared" si="13"/>
        <v>-5029.79999999993</v>
      </c>
      <c r="I107" s="81">
        <f t="shared" si="14"/>
        <v>28107.899999999907</v>
      </c>
    </row>
    <row r="108" spans="1:9" ht="37.5">
      <c r="A108" s="28" t="s">
        <v>56</v>
      </c>
      <c r="B108" s="71">
        <f>1960.1-191.1-248.9</f>
        <v>1520.1</v>
      </c>
      <c r="C108" s="67">
        <f>2166.2-191.1-248.9</f>
        <v>1726.1999999999998</v>
      </c>
      <c r="D108" s="72">
        <f>142.7+0.9+78.6+37.4+44.2+140.1+1+20.9+25.7+0.2+2+0.6+0.4+1.8+1.5-0.1+62.6+2.1+1.9+2.9+1+9.8+0.1+52+4.8+2+1.2+2+5.2+2.6-0.1+56.3+43+2.2+0.3+6.3+0.1+46.4+1.3+6.5+1.2+1-0.1+67.4+1.9+0.3+9.6+59+4.3+5.5+18.3+1.1+0.2+37.9+21.6+7.2+1.8+20.6+1.2+1.5+1.3+24.6-0.1+139.8</f>
        <v>1237.4999999999995</v>
      </c>
      <c r="E108" s="6">
        <f>D108/D107*100</f>
        <v>0.22122363215417107</v>
      </c>
      <c r="F108" s="6">
        <f t="shared" si="15"/>
        <v>81.40911782119595</v>
      </c>
      <c r="G108" s="6">
        <f t="shared" si="12"/>
        <v>71.689259645464</v>
      </c>
      <c r="H108" s="61">
        <f aca="true" t="shared" si="16" ref="H108:H148">B108-D108</f>
        <v>282.60000000000036</v>
      </c>
      <c r="I108" s="61">
        <f t="shared" si="14"/>
        <v>488.7000000000003</v>
      </c>
    </row>
    <row r="109" spans="1:9" ht="18">
      <c r="A109" s="23" t="s">
        <v>27</v>
      </c>
      <c r="B109" s="74">
        <f>1094-357</f>
        <v>737</v>
      </c>
      <c r="C109" s="44">
        <f>1213.5-357</f>
        <v>856.5</v>
      </c>
      <c r="D109" s="75">
        <f>142.7+0.9+78.6+37.4+20.9+42.5+24.8+0.6+32.7+0.1+16.7+37.6+29.1+37.9+0.6+124.7</f>
        <v>627.8000000000001</v>
      </c>
      <c r="E109" s="1">
        <f>D109/D108*100</f>
        <v>50.73131313131316</v>
      </c>
      <c r="F109" s="1">
        <f t="shared" si="15"/>
        <v>85.18317503392132</v>
      </c>
      <c r="G109" s="1">
        <f t="shared" si="12"/>
        <v>73.29830706363106</v>
      </c>
      <c r="H109" s="44">
        <f t="shared" si="16"/>
        <v>109.19999999999993</v>
      </c>
      <c r="I109" s="44">
        <f t="shared" si="14"/>
        <v>228.69999999999993</v>
      </c>
    </row>
    <row r="110" spans="1:9" ht="34.5" customHeight="1">
      <c r="A110" s="16" t="s">
        <v>84</v>
      </c>
      <c r="B110" s="73">
        <f>745.5+88.7</f>
        <v>834.2</v>
      </c>
      <c r="C110" s="61">
        <f>778.3+88.7</f>
        <v>867</v>
      </c>
      <c r="D110" s="72">
        <f>26.5+20.2+7.7+37.4+7.5+38.9-0.1+38.9+12.6+45.5+9.7+1.6+37.6-0.1+56.2+1.4+57.4+128+14.8+60.5+43.8+9.8-0.1</f>
        <v>655.6999999999997</v>
      </c>
      <c r="E110" s="6">
        <f>D110/D107*100</f>
        <v>0.11721724089170905</v>
      </c>
      <c r="F110" s="6">
        <f>D110/B110*100</f>
        <v>78.60225365619752</v>
      </c>
      <c r="G110" s="6">
        <f t="shared" si="12"/>
        <v>75.62860438292961</v>
      </c>
      <c r="H110" s="61">
        <f t="shared" si="16"/>
        <v>178.50000000000034</v>
      </c>
      <c r="I110" s="61">
        <f t="shared" si="14"/>
        <v>211.3000000000003</v>
      </c>
    </row>
    <row r="111" spans="1:9" s="37" customFormat="1" ht="34.5" customHeight="1">
      <c r="A111" s="16" t="s">
        <v>60</v>
      </c>
      <c r="B111" s="73">
        <f>314.4-180.6+2.8-2.8</f>
        <v>133.79999999999998</v>
      </c>
      <c r="C111" s="53">
        <f>774.1-429.7-180.6</f>
        <v>163.80000000000004</v>
      </c>
      <c r="D111" s="76">
        <f>10.5</f>
        <v>10.5</v>
      </c>
      <c r="E111" s="6">
        <f>D111/D107*100</f>
        <v>0.0018770490000959974</v>
      </c>
      <c r="F111" s="6">
        <f t="shared" si="15"/>
        <v>7.847533632286996</v>
      </c>
      <c r="G111" s="6">
        <f t="shared" si="12"/>
        <v>6.410256410256408</v>
      </c>
      <c r="H111" s="61">
        <f t="shared" si="16"/>
        <v>123.29999999999998</v>
      </c>
      <c r="I111" s="61">
        <f t="shared" si="14"/>
        <v>153.30000000000004</v>
      </c>
    </row>
    <row r="112" spans="1:9" ht="18" hidden="1">
      <c r="A112" s="23" t="s">
        <v>27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102</v>
      </c>
      <c r="B113" s="73">
        <v>50</v>
      </c>
      <c r="C113" s="61">
        <v>50</v>
      </c>
      <c r="D113" s="72">
        <f>5.8+4.7+0.7+0.7+1+13.8+3.2+2.2+0.2+3.3</f>
        <v>35.6</v>
      </c>
      <c r="E113" s="6">
        <f>D113/D107*100</f>
        <v>0.0063640899431826195</v>
      </c>
      <c r="F113" s="6">
        <f t="shared" si="15"/>
        <v>71.2</v>
      </c>
      <c r="G113" s="6">
        <f t="shared" si="12"/>
        <v>71.2</v>
      </c>
      <c r="H113" s="61">
        <f t="shared" si="16"/>
        <v>14.399999999999999</v>
      </c>
      <c r="I113" s="61">
        <f t="shared" si="14"/>
        <v>14.399999999999999</v>
      </c>
    </row>
    <row r="114" spans="1:9" ht="37.5">
      <c r="A114" s="16" t="s">
        <v>41</v>
      </c>
      <c r="B114" s="73">
        <f>1615.3-100</f>
        <v>1515.3</v>
      </c>
      <c r="C114" s="61">
        <f>1826-100</f>
        <v>1726</v>
      </c>
      <c r="D114" s="72">
        <f>82.2+4.4+0.2+16.8+100.8+0.1+8.3+21.3+93.2+14.5+11.8+88.2+4.6+1.1+5.8+6+2.3+112.3+12.6+0.8+1.5+0.2+0.2+72.9+5.6+10.9+0.3+11.7+5.8+0.6+108.3+0.1+3+1.3+29.1+101.7+7.2+3.2+0.7+0.2+0.2+0.2+104.4+5.6+2.8+2.6+104.7+5.8+6.4+2.6+1.6+3.5+10.3+1.7+3.8+1.7+138.1+0.1+0.2</f>
        <v>1348.1</v>
      </c>
      <c r="E114" s="6">
        <f>D114/D107*100</f>
        <v>0.24099521495518228</v>
      </c>
      <c r="F114" s="6">
        <f t="shared" si="15"/>
        <v>88.96588134362831</v>
      </c>
      <c r="G114" s="6">
        <f t="shared" si="12"/>
        <v>78.10544611819235</v>
      </c>
      <c r="H114" s="61">
        <f t="shared" si="16"/>
        <v>167.20000000000005</v>
      </c>
      <c r="I114" s="61">
        <f t="shared" si="14"/>
        <v>377.9000000000001</v>
      </c>
    </row>
    <row r="115" spans="1:9" ht="18" hidden="1">
      <c r="A115" s="33" t="s">
        <v>47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103</v>
      </c>
      <c r="B116" s="73">
        <v>0</v>
      </c>
      <c r="C116" s="53">
        <f>264.5-264.5</f>
        <v>0</v>
      </c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51</v>
      </c>
      <c r="B117" s="73">
        <v>110</v>
      </c>
      <c r="C117" s="61">
        <v>110</v>
      </c>
      <c r="D117" s="72">
        <f>15+30.5+11.5+8</f>
        <v>65</v>
      </c>
      <c r="E117" s="6">
        <f>D117/D107*100</f>
        <v>0.011619827143451411</v>
      </c>
      <c r="F117" s="6">
        <f>D117/B117*100</f>
        <v>59.09090909090909</v>
      </c>
      <c r="G117" s="6">
        <f t="shared" si="12"/>
        <v>59.09090909090909</v>
      </c>
      <c r="H117" s="61">
        <f t="shared" si="16"/>
        <v>45</v>
      </c>
      <c r="I117" s="61">
        <f t="shared" si="14"/>
        <v>45</v>
      </c>
    </row>
    <row r="118" spans="1:9" s="2" customFormat="1" ht="18.75">
      <c r="A118" s="16" t="s">
        <v>15</v>
      </c>
      <c r="B118" s="73">
        <v>210.8</v>
      </c>
      <c r="C118" s="53">
        <f>229.6+4.4</f>
        <v>234</v>
      </c>
      <c r="D118" s="72">
        <f>17.1-0.3+0.8+0.3+21.4+4.2+0.3+17.6+4.2+0.8+0.3+16.8+0.3+2+2.2+17.7+1.1+4.1+17.7+0.8+4.3+0.3+1.6+0.3+4+0.8+1.7+3+17.7+1.1+2.9+17.7+1.2+1.1+2.7+1.4+17.7</f>
        <v>208.89999999999995</v>
      </c>
      <c r="E118" s="6">
        <f>D118/D107*100</f>
        <v>0.037344336773338455</v>
      </c>
      <c r="F118" s="6">
        <f t="shared" si="15"/>
        <v>99.09867172675519</v>
      </c>
      <c r="G118" s="6">
        <f t="shared" si="12"/>
        <v>89.27350427350426</v>
      </c>
      <c r="H118" s="61">
        <f t="shared" si="16"/>
        <v>1.9000000000000625</v>
      </c>
      <c r="I118" s="61">
        <f t="shared" si="14"/>
        <v>25.10000000000005</v>
      </c>
    </row>
    <row r="119" spans="1:9" s="32" customFormat="1" ht="18">
      <c r="A119" s="33" t="s">
        <v>47</v>
      </c>
      <c r="B119" s="74">
        <v>155.7</v>
      </c>
      <c r="C119" s="44">
        <f>170.2+4.4</f>
        <v>174.6</v>
      </c>
      <c r="D119" s="75">
        <f>17.1-0.3+16.8+16.8+16.8+17.7+17.7+17.7+17.7+17.7</f>
        <v>155.7</v>
      </c>
      <c r="E119" s="1">
        <f>D119/D118*100</f>
        <v>74.53326950694114</v>
      </c>
      <c r="F119" s="1">
        <f t="shared" si="15"/>
        <v>100</v>
      </c>
      <c r="G119" s="1">
        <f t="shared" si="12"/>
        <v>89.17525773195875</v>
      </c>
      <c r="H119" s="44">
        <f t="shared" si="16"/>
        <v>0</v>
      </c>
      <c r="I119" s="44">
        <f t="shared" si="14"/>
        <v>18.900000000000006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39</v>
      </c>
      <c r="B121" s="73">
        <f>488.7-82.4</f>
        <v>406.29999999999995</v>
      </c>
      <c r="C121" s="53">
        <f>204.9+375.8-12-82.4</f>
        <v>486.30000000000007</v>
      </c>
      <c r="D121" s="76">
        <f>136.8+10+57.4-0.1+22.6+0.1</f>
        <v>226.8</v>
      </c>
      <c r="E121" s="17">
        <f>D121/D107*100</f>
        <v>0.04054425840207355</v>
      </c>
      <c r="F121" s="6">
        <f t="shared" si="15"/>
        <v>55.82082205267045</v>
      </c>
      <c r="G121" s="6">
        <f t="shared" si="12"/>
        <v>46.637877853177045</v>
      </c>
      <c r="H121" s="61">
        <f t="shared" si="16"/>
        <v>179.49999999999994</v>
      </c>
      <c r="I121" s="61">
        <f t="shared" si="14"/>
        <v>259.50000000000006</v>
      </c>
    </row>
    <row r="122" spans="1:9" s="102" customFormat="1" ht="18">
      <c r="A122" s="23" t="s">
        <v>86</v>
      </c>
      <c r="B122" s="74">
        <v>80</v>
      </c>
      <c r="C122" s="44">
        <v>80</v>
      </c>
      <c r="D122" s="75">
        <f>57.4+22.6</f>
        <v>80</v>
      </c>
      <c r="E122" s="6"/>
      <c r="F122" s="1">
        <f>D122/B122*100</f>
        <v>100</v>
      </c>
      <c r="G122" s="1">
        <f t="shared" si="12"/>
        <v>100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53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43</v>
      </c>
      <c r="B124" s="73">
        <f>26438.7+500-20.8</f>
        <v>26917.9</v>
      </c>
      <c r="C124" s="53">
        <f>5096.9+1707.5+6000+16669.6-700+350-20.8</f>
        <v>29103.2</v>
      </c>
      <c r="D124" s="76">
        <f>3776+7.6+1124+100+14.3+14.5+0.1+20.4+3015.8+9+1156.5+27+0.1+1146.6+5.2+681+29.9+16.3+480.3+117.6+5542.8+148.8+1446+310+974.1+0.1+1858.9+80.5+1043.3+1734.7+500+1536.4</f>
        <v>26917.8</v>
      </c>
      <c r="E124" s="17">
        <f>D124/D107*100</f>
        <v>4.812002816646099</v>
      </c>
      <c r="F124" s="6">
        <f t="shared" si="15"/>
        <v>99.99962849999442</v>
      </c>
      <c r="G124" s="6">
        <f t="shared" si="12"/>
        <v>92.49086011160284</v>
      </c>
      <c r="H124" s="61">
        <f t="shared" si="16"/>
        <v>0.10000000000218279</v>
      </c>
      <c r="I124" s="61">
        <f t="shared" si="14"/>
        <v>2185.4000000000015</v>
      </c>
    </row>
    <row r="125" spans="1:9" s="2" customFormat="1" ht="18.75">
      <c r="A125" s="16" t="s">
        <v>105</v>
      </c>
      <c r="B125" s="73">
        <f>875-72-560</f>
        <v>243</v>
      </c>
      <c r="C125" s="53">
        <f>1239-364-72-560</f>
        <v>243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243</v>
      </c>
      <c r="I125" s="61">
        <f t="shared" si="14"/>
        <v>243</v>
      </c>
    </row>
    <row r="126" spans="1:9" s="2" customFormat="1" ht="37.5">
      <c r="A126" s="16" t="s">
        <v>104</v>
      </c>
      <c r="B126" s="73">
        <v>20</v>
      </c>
      <c r="C126" s="53">
        <v>20</v>
      </c>
      <c r="D126" s="76"/>
      <c r="E126" s="17">
        <f>D126/D107*100</f>
        <v>0</v>
      </c>
      <c r="F126" s="125">
        <f t="shared" si="15"/>
        <v>0</v>
      </c>
      <c r="G126" s="6">
        <f t="shared" si="12"/>
        <v>0</v>
      </c>
      <c r="H126" s="61">
        <f t="shared" si="16"/>
        <v>20</v>
      </c>
      <c r="I126" s="61">
        <f t="shared" si="14"/>
        <v>20</v>
      </c>
    </row>
    <row r="127" spans="1:9" s="2" customFormat="1" ht="37.5">
      <c r="A127" s="16" t="s">
        <v>91</v>
      </c>
      <c r="B127" s="73">
        <f>95.1-4.4</f>
        <v>90.69999999999999</v>
      </c>
      <c r="C127" s="53">
        <v>95.1</v>
      </c>
      <c r="D127" s="76">
        <f>4.5+17.5+0.7+32.3</f>
        <v>55</v>
      </c>
      <c r="E127" s="17">
        <f>D127/D107*100</f>
        <v>0.009832161429074273</v>
      </c>
      <c r="F127" s="6">
        <f t="shared" si="15"/>
        <v>60.63947078280045</v>
      </c>
      <c r="G127" s="6">
        <f t="shared" si="12"/>
        <v>57.83385909568876</v>
      </c>
      <c r="H127" s="61">
        <f t="shared" si="16"/>
        <v>35.69999999999999</v>
      </c>
      <c r="I127" s="61">
        <f t="shared" si="14"/>
        <v>40.099999999999994</v>
      </c>
    </row>
    <row r="128" spans="1:9" s="2" customFormat="1" ht="37.5">
      <c r="A128" s="16" t="s">
        <v>63</v>
      </c>
      <c r="B128" s="73">
        <f>685.1+175.2</f>
        <v>860.3</v>
      </c>
      <c r="C128" s="53">
        <v>983</v>
      </c>
      <c r="D128" s="76">
        <f>2.8+14.4+2.8+8.8+3.7+4+2.8+5.8+9.6+4.2+2.7+0.2+2.9+76+0.5+2.6+4.7+5.9+2.9+2.9+16.5+2.9+3.4+118.6+34.2+37.5+8.6+108.7+17.3+1.3+0.8</f>
        <v>510.00000000000006</v>
      </c>
      <c r="E128" s="17">
        <f>D128/D107*100</f>
        <v>0.09117095143323417</v>
      </c>
      <c r="F128" s="6">
        <f t="shared" si="15"/>
        <v>59.281645937463686</v>
      </c>
      <c r="G128" s="6">
        <f t="shared" si="12"/>
        <v>51.881993896236025</v>
      </c>
      <c r="H128" s="61">
        <f t="shared" si="16"/>
        <v>350.2999999999999</v>
      </c>
      <c r="I128" s="61">
        <f t="shared" si="14"/>
        <v>472.99999999999994</v>
      </c>
    </row>
    <row r="129" spans="1:9" s="32" customFormat="1" ht="18">
      <c r="A129" s="23" t="s">
        <v>98</v>
      </c>
      <c r="B129" s="74">
        <f>398.1-20</f>
        <v>378.1</v>
      </c>
      <c r="C129" s="44">
        <f>851.8-335.4-20</f>
        <v>496.4</v>
      </c>
      <c r="D129" s="75">
        <f>2.8+2.8-0.1+2.8+2.7+2.9+70.7+4.7+2.9+2.9+2.9+2.9+108.7+2.9+0.1</f>
        <v>212.60000000000002</v>
      </c>
      <c r="E129" s="1">
        <f>D129/D128*100</f>
        <v>41.68627450980392</v>
      </c>
      <c r="F129" s="1">
        <f>D129/B129*100</f>
        <v>56.2285109759323</v>
      </c>
      <c r="G129" s="1">
        <f t="shared" si="12"/>
        <v>42.82836422240129</v>
      </c>
      <c r="H129" s="44">
        <f t="shared" si="16"/>
        <v>165.5</v>
      </c>
      <c r="I129" s="44">
        <f t="shared" si="14"/>
        <v>283.79999999999995</v>
      </c>
    </row>
    <row r="130" spans="1:9" s="2" customFormat="1" ht="37.5">
      <c r="A130" s="16" t="s">
        <v>106</v>
      </c>
      <c r="B130" s="73">
        <f>300-200</f>
        <v>100</v>
      </c>
      <c r="C130" s="53">
        <f>400-200</f>
        <v>200</v>
      </c>
      <c r="D130" s="76"/>
      <c r="E130" s="17">
        <f>D130/D107*100</f>
        <v>0</v>
      </c>
      <c r="F130" s="125">
        <f t="shared" si="15"/>
        <v>0</v>
      </c>
      <c r="G130" s="6">
        <f t="shared" si="12"/>
        <v>0</v>
      </c>
      <c r="H130" s="61">
        <f t="shared" si="16"/>
        <v>100</v>
      </c>
      <c r="I130" s="61">
        <f t="shared" si="14"/>
        <v>200</v>
      </c>
    </row>
    <row r="131" spans="1:9" s="32" customFormat="1" ht="18" hidden="1">
      <c r="A131" s="33" t="s">
        <v>47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58</v>
      </c>
      <c r="B132" s="73">
        <v>62.8</v>
      </c>
      <c r="C132" s="53">
        <v>64.1</v>
      </c>
      <c r="D132" s="76">
        <f>0.8+2.3+1.8+1+14.8+2.3+0.1+3.7+14.8+0.6</f>
        <v>42.2</v>
      </c>
      <c r="E132" s="17">
        <f>D132/D107*100</f>
        <v>0.007543949314671532</v>
      </c>
      <c r="F132" s="6">
        <f t="shared" si="15"/>
        <v>67.19745222929937</v>
      </c>
      <c r="G132" s="6">
        <f t="shared" si="12"/>
        <v>65.83463338533542</v>
      </c>
      <c r="H132" s="61">
        <f t="shared" si="16"/>
        <v>20.599999999999994</v>
      </c>
      <c r="I132" s="61">
        <f>C132-D132</f>
        <v>21.89999999999999</v>
      </c>
    </row>
    <row r="133" spans="1:9" s="2" customFormat="1" ht="35.25" customHeight="1" hidden="1">
      <c r="A133" s="16" t="s">
        <v>59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97</v>
      </c>
      <c r="B134" s="73">
        <v>20</v>
      </c>
      <c r="C134" s="53">
        <f>600-500</f>
        <v>100</v>
      </c>
      <c r="D134" s="76">
        <f>0.8+5+0.9+2.6-0.1+0.6+0.1+0.6+1.7+4.6</f>
        <v>16.799999999999997</v>
      </c>
      <c r="E134" s="17">
        <f>D134/D107*100</f>
        <v>0.0030032784001535954</v>
      </c>
      <c r="F134" s="6">
        <f t="shared" si="15"/>
        <v>83.99999999999999</v>
      </c>
      <c r="G134" s="6">
        <f t="shared" si="12"/>
        <v>16.799999999999997</v>
      </c>
      <c r="H134" s="61">
        <f t="shared" si="16"/>
        <v>3.200000000000003</v>
      </c>
      <c r="I134" s="61">
        <f t="shared" si="14"/>
        <v>83.2</v>
      </c>
    </row>
    <row r="135" spans="1:9" s="2" customFormat="1" ht="37.5">
      <c r="A135" s="16" t="s">
        <v>59</v>
      </c>
      <c r="B135" s="73">
        <v>40</v>
      </c>
      <c r="C135" s="53">
        <v>40</v>
      </c>
      <c r="D135" s="76"/>
      <c r="E135" s="17">
        <f>D135/D107*100</f>
        <v>0</v>
      </c>
      <c r="F135" s="6">
        <f t="shared" si="15"/>
        <v>0</v>
      </c>
      <c r="G135" s="6">
        <f t="shared" si="12"/>
        <v>0</v>
      </c>
      <c r="H135" s="61">
        <f t="shared" si="16"/>
        <v>40</v>
      </c>
      <c r="I135" s="61">
        <f t="shared" si="14"/>
        <v>40</v>
      </c>
    </row>
    <row r="136" spans="1:9" s="2" customFormat="1" ht="37.5">
      <c r="A136" s="16" t="s">
        <v>90</v>
      </c>
      <c r="B136" s="73">
        <f>320.7+2.8</f>
        <v>323.5</v>
      </c>
      <c r="C136" s="53">
        <v>363.7</v>
      </c>
      <c r="D136" s="76">
        <f>5.2+0.3+2.7+0.1+0.5+0.2+13.8+39.2+5+5.9+2+6.5+0.1+32.4+5+3.9+0.2+0.7+8.4+0.1+0.1+3+4.4+0.1+5.5+21.4+0.1+4.5+0.6+5.7+0.4+24.5+1.5+1.7+1.6+1.3+1.6+9.9+1.4+0.4+6.1+0.3+0.5+0.1+17.8</f>
        <v>246.70000000000002</v>
      </c>
      <c r="E136" s="17">
        <f>D136/D107*100</f>
        <v>0.044101713173684054</v>
      </c>
      <c r="F136" s="6">
        <f t="shared" si="15"/>
        <v>76.2596599690881</v>
      </c>
      <c r="G136" s="6">
        <f>D136/C136*100</f>
        <v>67.83062963981304</v>
      </c>
      <c r="H136" s="61">
        <f t="shared" si="16"/>
        <v>76.79999999999998</v>
      </c>
      <c r="I136" s="61">
        <f t="shared" si="14"/>
        <v>116.99999999999997</v>
      </c>
    </row>
    <row r="137" spans="1:9" s="32" customFormat="1" ht="18">
      <c r="A137" s="23" t="s">
        <v>27</v>
      </c>
      <c r="B137" s="74">
        <f>224.4+17.8</f>
        <v>242.20000000000002</v>
      </c>
      <c r="C137" s="44">
        <f>218.8+36.5+17.8</f>
        <v>273.1</v>
      </c>
      <c r="D137" s="75">
        <f>0.3+39.3+0.2+2+32.4+0.2-0.1+5.4+0.1+5.5+21.4+0.1+0.1+22.6+1.7+9.9+0.6+0.2+6.1+17.8</f>
        <v>165.79999999999995</v>
      </c>
      <c r="E137" s="103">
        <f>D137/D136*100</f>
        <v>67.20713417105794</v>
      </c>
      <c r="F137" s="1">
        <f t="shared" si="15"/>
        <v>68.45582163501236</v>
      </c>
      <c r="G137" s="1">
        <f>D137/C137*100</f>
        <v>60.710362504577056</v>
      </c>
      <c r="H137" s="44">
        <f t="shared" si="16"/>
        <v>76.40000000000006</v>
      </c>
      <c r="I137" s="44">
        <f t="shared" si="14"/>
        <v>107.30000000000007</v>
      </c>
    </row>
    <row r="138" spans="1:9" s="2" customFormat="1" ht="18.75">
      <c r="A138" s="16" t="s">
        <v>26</v>
      </c>
      <c r="B138" s="73">
        <v>1159.6</v>
      </c>
      <c r="C138" s="53">
        <f>1160.2+12+85</f>
        <v>1257.2</v>
      </c>
      <c r="D138" s="76">
        <f>26.5+42.3+30.1+3.6+8.6+42.3+0.1+5.7+31.9+5.2+42.5+11.7+55+45.4+28.3+17.8+9.6+33.4+0.9+26.8+46.9+38.1-0.1+30.6+29.1+43.2+28.9+29.5+0.1+43.5+140.8+0.1+38.4+46.8+37.3+6.7+42.3+4.9+48.5+0.1</f>
        <v>1123.3999999999999</v>
      </c>
      <c r="E138" s="17">
        <f>D138/D107*100</f>
        <v>0.20082636635312792</v>
      </c>
      <c r="F138" s="6">
        <f t="shared" si="15"/>
        <v>96.87823387374956</v>
      </c>
      <c r="G138" s="6">
        <f t="shared" si="12"/>
        <v>89.35730194082086</v>
      </c>
      <c r="H138" s="61">
        <f t="shared" si="16"/>
        <v>36.200000000000045</v>
      </c>
      <c r="I138" s="61">
        <f t="shared" si="14"/>
        <v>133.80000000000018</v>
      </c>
    </row>
    <row r="139" spans="1:9" s="32" customFormat="1" ht="18">
      <c r="A139" s="33" t="s">
        <v>47</v>
      </c>
      <c r="B139" s="74">
        <v>813</v>
      </c>
      <c r="C139" s="44">
        <v>886.2</v>
      </c>
      <c r="D139" s="75">
        <f>26.5+39.8+30.1+42.1+0.1+31.9+40.5+11.2+38.1+30.1+28.3+17.4+33.4+8.9+24.2+37.9+28.8+43.2+29.4+43.5-0.1+36.5+38.4+39.2+36.7-0.1+33.6+39</f>
        <v>808.6</v>
      </c>
      <c r="E139" s="1">
        <f>D139/D138*100</f>
        <v>71.97792415880365</v>
      </c>
      <c r="F139" s="1">
        <f aca="true" t="shared" si="17" ref="F139:F147">D139/B139*100</f>
        <v>99.45879458794589</v>
      </c>
      <c r="G139" s="1">
        <f t="shared" si="12"/>
        <v>91.24351162265853</v>
      </c>
      <c r="H139" s="44">
        <f t="shared" si="16"/>
        <v>4.399999999999977</v>
      </c>
      <c r="I139" s="44">
        <f t="shared" si="14"/>
        <v>77.60000000000002</v>
      </c>
    </row>
    <row r="140" spans="1:9" s="32" customFormat="1" ht="18">
      <c r="A140" s="23" t="s">
        <v>27</v>
      </c>
      <c r="B140" s="74">
        <v>30</v>
      </c>
      <c r="C140" s="44">
        <v>39.3</v>
      </c>
      <c r="D140" s="75">
        <f>8.6+0.2+0.3+5.1+0.4+5.3+0.3+0.3+0.2+0.3+0.3+0.3+2.3</f>
        <v>23.900000000000002</v>
      </c>
      <c r="E140" s="1">
        <f>D140/D138*100</f>
        <v>2.1274701798112874</v>
      </c>
      <c r="F140" s="1">
        <f t="shared" si="17"/>
        <v>79.66666666666667</v>
      </c>
      <c r="G140" s="1">
        <f>D140/C140*100</f>
        <v>60.81424936386769</v>
      </c>
      <c r="H140" s="44">
        <f t="shared" si="16"/>
        <v>6.099999999999998</v>
      </c>
      <c r="I140" s="44">
        <f t="shared" si="14"/>
        <v>15.399999999999995</v>
      </c>
    </row>
    <row r="141" spans="1:9" s="2" customFormat="1" ht="56.25">
      <c r="A141" s="18" t="s">
        <v>95</v>
      </c>
      <c r="B141" s="73">
        <v>499.1</v>
      </c>
      <c r="C141" s="53">
        <f>345+154.1+25</f>
        <v>524.1</v>
      </c>
      <c r="D141" s="76">
        <f>345+154.1</f>
        <v>499.1</v>
      </c>
      <c r="E141" s="17">
        <f>D141/D107*100</f>
        <v>0.08922239580456308</v>
      </c>
      <c r="F141" s="99">
        <f t="shared" si="17"/>
        <v>100</v>
      </c>
      <c r="G141" s="6">
        <f t="shared" si="12"/>
        <v>95.22991795458881</v>
      </c>
      <c r="H141" s="61">
        <f t="shared" si="16"/>
        <v>0</v>
      </c>
      <c r="I141" s="61">
        <f t="shared" si="14"/>
        <v>25</v>
      </c>
    </row>
    <row r="142" spans="1:9" s="2" customFormat="1" ht="18.75">
      <c r="A142" s="18" t="s">
        <v>107</v>
      </c>
      <c r="B142" s="73">
        <v>3220</v>
      </c>
      <c r="C142" s="53">
        <f>2620+600</f>
        <v>3220</v>
      </c>
      <c r="D142" s="76">
        <f>2620</f>
        <v>2620</v>
      </c>
      <c r="E142" s="17">
        <f>D142/D107*100</f>
        <v>0.4683684171668108</v>
      </c>
      <c r="F142" s="99">
        <f>D142/B142*100</f>
        <v>81.36645962732919</v>
      </c>
      <c r="G142" s="6">
        <f t="shared" si="12"/>
        <v>81.36645962732919</v>
      </c>
      <c r="H142" s="61">
        <f t="shared" si="16"/>
        <v>600</v>
      </c>
      <c r="I142" s="61">
        <f t="shared" si="14"/>
        <v>600</v>
      </c>
    </row>
    <row r="143" spans="1:9" s="2" customFormat="1" ht="18.75">
      <c r="A143" s="18" t="s">
        <v>92</v>
      </c>
      <c r="B143" s="73">
        <f>39981.9+8.4+185.2+0.1</f>
        <v>40175.6</v>
      </c>
      <c r="C143" s="53">
        <f>16744+15000+2000-2607.4+8610.1+1327.3+3638+185.2+0.1</f>
        <v>44897.299999999996</v>
      </c>
      <c r="D143" s="76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+122.1+3.8+42+994.1+165.7+363.3+1.9+102.1+983.3+775.9+141.6+225+107.6+409+115.9+2707+23.9+196.6+96.9+110+1.9+171+204.5+1021.7+1367</f>
        <v>38741.899999999994</v>
      </c>
      <c r="E143" s="17">
        <f>D143/D107*100</f>
        <v>6.925756633982773</v>
      </c>
      <c r="F143" s="99">
        <f t="shared" si="17"/>
        <v>96.4314160833939</v>
      </c>
      <c r="G143" s="6">
        <f t="shared" si="12"/>
        <v>86.29004416746665</v>
      </c>
      <c r="H143" s="61">
        <f t="shared" si="16"/>
        <v>1433.7000000000044</v>
      </c>
      <c r="I143" s="61">
        <f t="shared" si="14"/>
        <v>6155.4000000000015</v>
      </c>
    </row>
    <row r="144" spans="1:9" s="2" customFormat="1" ht="18.75" hidden="1">
      <c r="A144" s="18" t="s">
        <v>93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96</v>
      </c>
      <c r="B145" s="73">
        <v>2247.6</v>
      </c>
      <c r="C145" s="53">
        <f>6504.8-4188</f>
        <v>2316.8</v>
      </c>
      <c r="D145" s="76">
        <f>2094+16</f>
        <v>2110</v>
      </c>
      <c r="E145" s="17">
        <f>D145/D107*100</f>
        <v>0.3771974657335766</v>
      </c>
      <c r="F145" s="99">
        <f t="shared" si="17"/>
        <v>93.87791421961204</v>
      </c>
      <c r="G145" s="6">
        <f t="shared" si="12"/>
        <v>91.0738950276243</v>
      </c>
      <c r="H145" s="61">
        <f t="shared" si="16"/>
        <v>137.5999999999999</v>
      </c>
      <c r="I145" s="61">
        <f t="shared" si="14"/>
        <v>206.80000000000018</v>
      </c>
    </row>
    <row r="146" spans="1:12" s="2" customFormat="1" ht="18.75" customHeight="1">
      <c r="A146" s="16" t="s">
        <v>83</v>
      </c>
      <c r="B146" s="73">
        <v>602.7</v>
      </c>
      <c r="C146" s="53">
        <v>602.7</v>
      </c>
      <c r="D146" s="76">
        <f>568.7+16.6-0.1+15.4+2.1</f>
        <v>602.7</v>
      </c>
      <c r="E146" s="17">
        <f>D146/D107*100</f>
        <v>0.10774261260551025</v>
      </c>
      <c r="F146" s="99">
        <f t="shared" si="17"/>
        <v>100</v>
      </c>
      <c r="G146" s="6">
        <f t="shared" si="12"/>
        <v>100</v>
      </c>
      <c r="H146" s="61">
        <f t="shared" si="16"/>
        <v>0</v>
      </c>
      <c r="I146" s="61">
        <f t="shared" si="14"/>
        <v>0</v>
      </c>
      <c r="K146" s="38"/>
      <c r="L146" s="38"/>
    </row>
    <row r="147" spans="1:12" s="2" customFormat="1" ht="19.5" customHeight="1">
      <c r="A147" s="16" t="s">
        <v>54</v>
      </c>
      <c r="B147" s="73">
        <f>445905.1+1534-500+735.8-1038.5-424.7+199.1</f>
        <v>446410.79999999993</v>
      </c>
      <c r="C147" s="53">
        <f>473452.9-2494.7-2700.6+1093.8-24.3-424.7+199.1</f>
        <v>469101.5</v>
      </c>
      <c r="D147" s="76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+2382.3+3709.2+3849.8+621.1+1427.4+1944.2+2446+1308.3+4405.5+9588.9+55.3+7536.4+1072.6+878.9+1120.6+1731.2+4157+155.9+1484.9+7590.8+2684.6+1175.2+1850.4+3473.8+8.6+1701.7+2648.5+7402.6+12096+8228.4+4743.5+940.3+204.9+1286.7+5673.6+7+22.5+4.6+22.2+2722.1+9442.7+12</f>
        <v>455530.20000000007</v>
      </c>
      <c r="E147" s="17">
        <f>D147/D107*100</f>
        <v>81.43357204033617</v>
      </c>
      <c r="F147" s="6">
        <f t="shared" si="17"/>
        <v>102.0428269208541</v>
      </c>
      <c r="G147" s="6">
        <f t="shared" si="12"/>
        <v>97.1069587285481</v>
      </c>
      <c r="H147" s="61">
        <f t="shared" si="16"/>
        <v>-9119.40000000014</v>
      </c>
      <c r="I147" s="61">
        <f t="shared" si="14"/>
        <v>13571.29999999993</v>
      </c>
      <c r="K147" s="91"/>
      <c r="L147" s="38"/>
    </row>
    <row r="148" spans="1:12" s="2" customFormat="1" ht="18.75">
      <c r="A148" s="16" t="s">
        <v>94</v>
      </c>
      <c r="B148" s="73">
        <v>26584.8</v>
      </c>
      <c r="C148" s="53">
        <v>29001.6</v>
      </c>
      <c r="D148" s="76">
        <f>805.6+805.6+805.6+805.6+805.6+805.6+805.6+805.6+805.6+805.6+805.6+805.6+805.6+805.6+805.6+805.6+805.6+805.6+805.6+805.6+805.6+805.6+805.6+805.6+805.6+805.6+805.6+805.6+805.6+805.6+805.6+805.6+805.6</f>
        <v>26584.79999999999</v>
      </c>
      <c r="E148" s="17">
        <f>D148/D107*100</f>
        <v>4.752473548357338</v>
      </c>
      <c r="F148" s="6">
        <f t="shared" si="15"/>
        <v>99.99999999999996</v>
      </c>
      <c r="G148" s="6">
        <f t="shared" si="12"/>
        <v>91.66666666666663</v>
      </c>
      <c r="H148" s="61">
        <f t="shared" si="16"/>
        <v>0</v>
      </c>
      <c r="I148" s="61">
        <f t="shared" si="14"/>
        <v>2416.80000000001</v>
      </c>
      <c r="K148" s="38"/>
      <c r="L148" s="38"/>
    </row>
    <row r="149" spans="1:12" s="2" customFormat="1" ht="19.5" thickBot="1">
      <c r="A149" s="34" t="s">
        <v>31</v>
      </c>
      <c r="B149" s="77">
        <f>B43+B69+B72+B77+B79+B87+B102+B107+B100+B84+B98</f>
        <v>565198.4000000001</v>
      </c>
      <c r="C149" s="77">
        <f>C43+C69+C72+C77+C79+C87+C102+C107+C100+C84+C98</f>
        <v>600288.5</v>
      </c>
      <c r="D149" s="53">
        <f>D43+D69+D72+D77+D79+D87+D102+D107+D100+D84+D98</f>
        <v>567704.1000000001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1416874.8000000003</v>
      </c>
      <c r="C150" s="47">
        <f>C6+C18+C33+C43+C51+C59+C69+C72+C77+C79+C87+C90+C95+C102+C107+C100+C84+C98+C45</f>
        <v>1536787.9</v>
      </c>
      <c r="D150" s="47">
        <f>D6+D18+D33+D43+D51+D59+D69+D72+D77+D79+D87+D90+D95+D102+D107+D100+D84+D98+D45</f>
        <v>1354603.4000000001</v>
      </c>
      <c r="E150" s="31">
        <v>100</v>
      </c>
      <c r="F150" s="3">
        <f>D150/B150*100</f>
        <v>95.60501746519876</v>
      </c>
      <c r="G150" s="3">
        <f aca="true" t="shared" si="18" ref="G150:G156">D150/C150*100</f>
        <v>88.14511098115753</v>
      </c>
      <c r="H150" s="47">
        <f aca="true" t="shared" si="19" ref="H150:H156">B150-D150</f>
        <v>62271.40000000014</v>
      </c>
      <c r="I150" s="47">
        <f aca="true" t="shared" si="20" ref="I150:I156">C150-D150</f>
        <v>182184.49999999977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558634.2999999999</v>
      </c>
      <c r="C151" s="60">
        <f>C8+C20+C34+C52+C60+C91+C115+C119+C46+C139+C131+C103</f>
        <v>612993.9999999997</v>
      </c>
      <c r="D151" s="60">
        <f>D8+D20+D34+D52+D60+D91+D115+D119+D46+D139+D131+D103</f>
        <v>550671.5999999997</v>
      </c>
      <c r="E151" s="6">
        <f>D151/D150*100</f>
        <v>40.65186902675718</v>
      </c>
      <c r="F151" s="6">
        <f aca="true" t="shared" si="21" ref="F151:F156">D151/B151*100</f>
        <v>98.5746131234691</v>
      </c>
      <c r="G151" s="6">
        <f t="shared" si="18"/>
        <v>89.83311419035097</v>
      </c>
      <c r="H151" s="61">
        <f t="shared" si="19"/>
        <v>7962.700000000186</v>
      </c>
      <c r="I151" s="72">
        <f t="shared" si="20"/>
        <v>62322.39999999991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103727.50000000001</v>
      </c>
      <c r="C152" s="61">
        <f>C11+C23+C36+C55+C62+C92+C49+C140+C109+C112+C96+C137</f>
        <v>121115.3</v>
      </c>
      <c r="D152" s="61">
        <f>D11+D23+D36+D55+D62+D92+D49+D140+D109+D112+D96+D137</f>
        <v>69934.20000000001</v>
      </c>
      <c r="E152" s="6">
        <f>D152/D150*100</f>
        <v>5.162706663810234</v>
      </c>
      <c r="F152" s="6">
        <f t="shared" si="21"/>
        <v>67.42107927020318</v>
      </c>
      <c r="G152" s="6">
        <f t="shared" si="18"/>
        <v>57.74183773643793</v>
      </c>
      <c r="H152" s="61">
        <f t="shared" si="19"/>
        <v>33793.3</v>
      </c>
      <c r="I152" s="72">
        <f t="shared" si="20"/>
        <v>51181.09999999999</v>
      </c>
      <c r="K152" s="39"/>
      <c r="L152" s="90"/>
    </row>
    <row r="153" spans="1:12" ht="18.75">
      <c r="A153" s="18" t="s">
        <v>1</v>
      </c>
      <c r="B153" s="60">
        <f>B22+B10+B54+B48+B61+B35+B123</f>
        <v>33588.100000000006</v>
      </c>
      <c r="C153" s="60">
        <f>C22+C10+C54+C48+C61+C35+C123</f>
        <v>36049.5</v>
      </c>
      <c r="D153" s="60">
        <f>D22+D10+D54+D48+D61+D35+D123</f>
        <v>29236.400000000016</v>
      </c>
      <c r="E153" s="6">
        <f>D153/D150*100</f>
        <v>2.158299617437843</v>
      </c>
      <c r="F153" s="6">
        <f t="shared" si="21"/>
        <v>87.04392329426199</v>
      </c>
      <c r="G153" s="6">
        <f t="shared" si="18"/>
        <v>81.10070874769418</v>
      </c>
      <c r="H153" s="61">
        <f t="shared" si="19"/>
        <v>4351.69999999999</v>
      </c>
      <c r="I153" s="72">
        <f t="shared" si="20"/>
        <v>6813.099999999984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23407.2</v>
      </c>
      <c r="C154" s="60">
        <f>C12+C24+C104+C63+C38+C93+C129+C56</f>
        <v>25914.6</v>
      </c>
      <c r="D154" s="60">
        <f>D12+D24+D104+D63+D38+D93+D129+D56</f>
        <v>21762.3</v>
      </c>
      <c r="E154" s="6">
        <f>D154/D150*100</f>
        <v>1.606544026096494</v>
      </c>
      <c r="F154" s="6">
        <f t="shared" si="21"/>
        <v>92.9726750743361</v>
      </c>
      <c r="G154" s="6">
        <f t="shared" si="18"/>
        <v>83.97698594614619</v>
      </c>
      <c r="H154" s="61">
        <f t="shared" si="19"/>
        <v>1644.9000000000015</v>
      </c>
      <c r="I154" s="72">
        <f t="shared" si="20"/>
        <v>4152.299999999999</v>
      </c>
      <c r="K154" s="39"/>
      <c r="L154" s="90"/>
    </row>
    <row r="155" spans="1:12" ht="18.75">
      <c r="A155" s="18" t="s">
        <v>2</v>
      </c>
      <c r="B155" s="60">
        <f>B9+B21+B47+B53+B122</f>
        <v>20400</v>
      </c>
      <c r="C155" s="60">
        <f>C9+C21+C47+C53+C122</f>
        <v>22170.1</v>
      </c>
      <c r="D155" s="60">
        <f>D9+D21+D47+D53+D122</f>
        <v>19871.39999999999</v>
      </c>
      <c r="E155" s="6">
        <f>D155/D150*100</f>
        <v>1.4669533532840675</v>
      </c>
      <c r="F155" s="6">
        <f t="shared" si="21"/>
        <v>97.40882352941172</v>
      </c>
      <c r="G155" s="6">
        <f t="shared" si="18"/>
        <v>89.63153075538672</v>
      </c>
      <c r="H155" s="61">
        <f t="shared" si="19"/>
        <v>528.6000000000095</v>
      </c>
      <c r="I155" s="72">
        <f t="shared" si="20"/>
        <v>2298.700000000008</v>
      </c>
      <c r="K155" s="39"/>
      <c r="L155" s="40"/>
    </row>
    <row r="156" spans="1:12" ht="19.5" thickBot="1">
      <c r="A156" s="126" t="s">
        <v>29</v>
      </c>
      <c r="B156" s="78">
        <f>B150-B151-B152-B153-B154-B155</f>
        <v>677117.7000000004</v>
      </c>
      <c r="C156" s="78">
        <f>C150-C151-C152-C153-C154-C155</f>
        <v>718544.4000000003</v>
      </c>
      <c r="D156" s="78">
        <f>D150-D151-D152-D153-D154-D155</f>
        <v>663127.5000000002</v>
      </c>
      <c r="E156" s="36">
        <f>D156/D150*100</f>
        <v>48.95362731261417</v>
      </c>
      <c r="F156" s="36">
        <f t="shared" si="21"/>
        <v>97.93385994783475</v>
      </c>
      <c r="G156" s="36">
        <f t="shared" si="18"/>
        <v>92.2876164646193</v>
      </c>
      <c r="H156" s="127">
        <f t="shared" si="19"/>
        <v>13990.200000000186</v>
      </c>
      <c r="I156" s="127">
        <f t="shared" si="20"/>
        <v>55416.90000000002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4" right="0.16" top="0.2" bottom="0.19" header="0.17" footer="0.18"/>
  <pageSetup fitToHeight="2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1536787.9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1354603.4000000001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34</v>
      </c>
      <c r="B1" s="4"/>
      <c r="C1" s="4"/>
      <c r="D1" s="4" t="s">
        <v>32</v>
      </c>
      <c r="E1" s="5">
        <f>'аналіз фінансування'!C150</f>
        <v>1536787.9</v>
      </c>
    </row>
    <row r="2" spans="1:5" ht="15.75">
      <c r="A2" s="4"/>
      <c r="B2" s="4"/>
      <c r="C2" s="4"/>
      <c r="D2" s="4" t="s">
        <v>33</v>
      </c>
      <c r="E2" s="5">
        <f>'аналіз фінансування'!D150</f>
        <v>1354603.4000000001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2016-12-01T08:52:42Z</cp:lastPrinted>
  <dcterms:created xsi:type="dcterms:W3CDTF">2000-06-20T04:48:00Z</dcterms:created>
  <dcterms:modified xsi:type="dcterms:W3CDTF">2016-12-06T06:37:51Z</dcterms:modified>
  <cp:category/>
  <cp:version/>
  <cp:contentType/>
  <cp:contentStatus/>
</cp:coreProperties>
</file>